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/>
  <mc:AlternateContent xmlns:mc="http://schemas.openxmlformats.org/markup-compatibility/2006">
    <mc:Choice Requires="x15">
      <x15ac:absPath xmlns:x15ac="http://schemas.microsoft.com/office/spreadsheetml/2010/11/ac" url="C:\Users\Steve\Downloads\"/>
    </mc:Choice>
  </mc:AlternateContent>
  <xr:revisionPtr revIDLastSave="0" documentId="13_ncr:1_{43152B7A-D5E0-4847-9ECA-F2322A1641D5}" xr6:coauthVersionLast="45" xr6:coauthVersionMax="45" xr10:uidLastSave="{00000000-0000-0000-0000-000000000000}"/>
  <bookViews>
    <workbookView xWindow="-120" yWindow="-120" windowWidth="19440" windowHeight="10590" tabRatio="714" xr2:uid="{00000000-000D-0000-FFFF-FFFF00000000}"/>
  </bookViews>
  <sheets>
    <sheet name="Fixtures" sheetId="1" r:id="rId1"/>
    <sheet name="Results" sheetId="2" state="hidden" r:id="rId2"/>
    <sheet name="Batting" sheetId="3" r:id="rId3"/>
    <sheet name="Bowling" sheetId="9" r:id="rId4"/>
    <sheet name="Fielding" sheetId="8" r:id="rId5"/>
    <sheet name="Partnerships" sheetId="7" state="hidden" r:id="rId6"/>
    <sheet name="NACA" sheetId="6" r:id="rId7"/>
    <sheet name="Schwim" sheetId="11" r:id="rId8"/>
    <sheet name="Club Champion" sheetId="10" r:id="rId9"/>
    <sheet name="CC By Game" sheetId="12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T42" i="3" l="1"/>
  <c r="P4" i="6" l="1"/>
  <c r="P5" i="6"/>
  <c r="P6" i="6"/>
  <c r="P7" i="6"/>
  <c r="F18" i="8"/>
  <c r="E18" i="8"/>
  <c r="D18" i="8"/>
  <c r="F13" i="8"/>
  <c r="E13" i="8"/>
  <c r="D13" i="8"/>
  <c r="BQ42" i="3"/>
  <c r="H18" i="8" l="1"/>
  <c r="H13" i="8"/>
  <c r="CJ36" i="8"/>
  <c r="CI36" i="8"/>
  <c r="CH36" i="8"/>
  <c r="CF36" i="8"/>
  <c r="CE36" i="8"/>
  <c r="CD36" i="8"/>
  <c r="CB36" i="8"/>
  <c r="CA36" i="8"/>
  <c r="BZ36" i="8"/>
  <c r="BX36" i="8"/>
  <c r="BW36" i="8"/>
  <c r="BV36" i="8"/>
  <c r="BT36" i="8"/>
  <c r="BS36" i="8"/>
  <c r="BR36" i="8"/>
  <c r="BP36" i="8"/>
  <c r="BO36" i="8"/>
  <c r="BN36" i="8"/>
  <c r="BL36" i="8"/>
  <c r="BK36" i="8"/>
  <c r="BJ36" i="8"/>
  <c r="BH36" i="8"/>
  <c r="BG36" i="8"/>
  <c r="BF36" i="8"/>
  <c r="BD36" i="8"/>
  <c r="BC36" i="8"/>
  <c r="BB36" i="8"/>
  <c r="AZ36" i="8"/>
  <c r="AY36" i="8"/>
  <c r="AX36" i="8"/>
  <c r="AV36" i="8"/>
  <c r="AU36" i="8"/>
  <c r="AT36" i="8"/>
  <c r="AR36" i="8"/>
  <c r="AQ36" i="8"/>
  <c r="AP36" i="8"/>
  <c r="AN36" i="8"/>
  <c r="AM36" i="8"/>
  <c r="AL36" i="8"/>
  <c r="AJ36" i="8"/>
  <c r="AI36" i="8"/>
  <c r="AH36" i="8"/>
  <c r="AF36" i="8"/>
  <c r="AE36" i="8"/>
  <c r="AD36" i="8"/>
  <c r="AB36" i="8"/>
  <c r="AA36" i="8"/>
  <c r="Z36" i="8"/>
  <c r="X36" i="8"/>
  <c r="W36" i="8"/>
  <c r="V36" i="8"/>
  <c r="T36" i="8"/>
  <c r="S36" i="8"/>
  <c r="R36" i="8"/>
  <c r="P36" i="8"/>
  <c r="O36" i="8"/>
  <c r="N36" i="8"/>
  <c r="CJ35" i="8"/>
  <c r="CI35" i="8"/>
  <c r="CH35" i="8"/>
  <c r="CF35" i="8"/>
  <c r="CE35" i="8"/>
  <c r="CD35" i="8"/>
  <c r="CB35" i="8"/>
  <c r="CA35" i="8"/>
  <c r="BZ35" i="8"/>
  <c r="BX35" i="8"/>
  <c r="BW35" i="8"/>
  <c r="BV35" i="8"/>
  <c r="BT35" i="8"/>
  <c r="BS35" i="8"/>
  <c r="BR35" i="8"/>
  <c r="BP35" i="8"/>
  <c r="BO35" i="8"/>
  <c r="BN35" i="8"/>
  <c r="BL35" i="8"/>
  <c r="BK35" i="8"/>
  <c r="BJ35" i="8"/>
  <c r="BH35" i="8"/>
  <c r="BG35" i="8"/>
  <c r="BF35" i="8"/>
  <c r="BD35" i="8"/>
  <c r="BC35" i="8"/>
  <c r="BB35" i="8"/>
  <c r="AZ35" i="8"/>
  <c r="AY35" i="8"/>
  <c r="AX35" i="8"/>
  <c r="AV35" i="8"/>
  <c r="AU35" i="8"/>
  <c r="AT35" i="8"/>
  <c r="AR35" i="8"/>
  <c r="AQ35" i="8"/>
  <c r="AP35" i="8"/>
  <c r="AN35" i="8"/>
  <c r="AM35" i="8"/>
  <c r="AL35" i="8"/>
  <c r="AJ35" i="8"/>
  <c r="AI35" i="8"/>
  <c r="AH35" i="8"/>
  <c r="AF35" i="8"/>
  <c r="AE35" i="8"/>
  <c r="AD35" i="8"/>
  <c r="AB35" i="8"/>
  <c r="AA35" i="8"/>
  <c r="Z35" i="8"/>
  <c r="X35" i="8"/>
  <c r="W35" i="8"/>
  <c r="V35" i="8"/>
  <c r="T35" i="8"/>
  <c r="S35" i="8"/>
  <c r="R35" i="8"/>
  <c r="P35" i="8"/>
  <c r="O35" i="8"/>
  <c r="N35" i="8"/>
  <c r="CJ34" i="8"/>
  <c r="CI34" i="8"/>
  <c r="CH34" i="8"/>
  <c r="CF34" i="8"/>
  <c r="CE34" i="8"/>
  <c r="CD34" i="8"/>
  <c r="CB34" i="8"/>
  <c r="CA34" i="8"/>
  <c r="BZ34" i="8"/>
  <c r="BX34" i="8"/>
  <c r="BW34" i="8"/>
  <c r="BV34" i="8"/>
  <c r="BT34" i="8"/>
  <c r="BS34" i="8"/>
  <c r="BR34" i="8"/>
  <c r="BP34" i="8"/>
  <c r="BO34" i="8"/>
  <c r="BN34" i="8"/>
  <c r="BL34" i="8"/>
  <c r="BK34" i="8"/>
  <c r="BJ34" i="8"/>
  <c r="BH34" i="8"/>
  <c r="BG34" i="8"/>
  <c r="BF34" i="8"/>
  <c r="BD34" i="8"/>
  <c r="BC34" i="8"/>
  <c r="BB34" i="8"/>
  <c r="AZ34" i="8"/>
  <c r="AY34" i="8"/>
  <c r="AX34" i="8"/>
  <c r="AV34" i="8"/>
  <c r="AS34" i="8" s="1"/>
  <c r="AU34" i="8"/>
  <c r="AT34" i="8"/>
  <c r="AR34" i="8"/>
  <c r="AQ34" i="8"/>
  <c r="AP34" i="8"/>
  <c r="AN34" i="8"/>
  <c r="AM34" i="8"/>
  <c r="AL34" i="8"/>
  <c r="AJ34" i="8"/>
  <c r="AI34" i="8"/>
  <c r="AH34" i="8"/>
  <c r="AF34" i="8"/>
  <c r="AE34" i="8"/>
  <c r="AD34" i="8"/>
  <c r="AB34" i="8"/>
  <c r="AA34" i="8"/>
  <c r="Z34" i="8"/>
  <c r="X34" i="8"/>
  <c r="W34" i="8"/>
  <c r="V34" i="8"/>
  <c r="T34" i="8"/>
  <c r="S34" i="8"/>
  <c r="R34" i="8"/>
  <c r="P34" i="8"/>
  <c r="M34" i="8" s="1"/>
  <c r="O34" i="8"/>
  <c r="N34" i="8"/>
  <c r="CJ33" i="8"/>
  <c r="CI33" i="8"/>
  <c r="CH33" i="8"/>
  <c r="CF33" i="8"/>
  <c r="CE33" i="8"/>
  <c r="CD33" i="8"/>
  <c r="CB33" i="8"/>
  <c r="CA33" i="8"/>
  <c r="BZ33" i="8"/>
  <c r="BX33" i="8"/>
  <c r="BW33" i="8"/>
  <c r="BV33" i="8"/>
  <c r="BT33" i="8"/>
  <c r="BS33" i="8"/>
  <c r="BR33" i="8"/>
  <c r="BP33" i="8"/>
  <c r="BO33" i="8"/>
  <c r="BN33" i="8"/>
  <c r="BL33" i="8"/>
  <c r="BK33" i="8"/>
  <c r="BJ33" i="8"/>
  <c r="BH33" i="8"/>
  <c r="BG33" i="8"/>
  <c r="BF33" i="8"/>
  <c r="BD33" i="8"/>
  <c r="BC33" i="8"/>
  <c r="BB33" i="8"/>
  <c r="AZ33" i="8"/>
  <c r="AY33" i="8"/>
  <c r="AX33" i="8"/>
  <c r="AV33" i="8"/>
  <c r="AU33" i="8"/>
  <c r="AT33" i="8"/>
  <c r="AR33" i="8"/>
  <c r="AQ33" i="8"/>
  <c r="AP33" i="8"/>
  <c r="AN33" i="8"/>
  <c r="AM33" i="8"/>
  <c r="AL33" i="8"/>
  <c r="AJ33" i="8"/>
  <c r="AI33" i="8"/>
  <c r="AH33" i="8"/>
  <c r="AF33" i="8"/>
  <c r="AE33" i="8"/>
  <c r="AD33" i="8"/>
  <c r="AB33" i="8"/>
  <c r="AA33" i="8"/>
  <c r="Z33" i="8"/>
  <c r="X33" i="8"/>
  <c r="W33" i="8"/>
  <c r="V33" i="8"/>
  <c r="T33" i="8"/>
  <c r="S33" i="8"/>
  <c r="R33" i="8"/>
  <c r="P33" i="8"/>
  <c r="O33" i="8"/>
  <c r="N33" i="8"/>
  <c r="CJ32" i="8"/>
  <c r="CI32" i="8"/>
  <c r="CH32" i="8"/>
  <c r="CF32" i="8"/>
  <c r="CE32" i="8"/>
  <c r="CD32" i="8"/>
  <c r="CB32" i="8"/>
  <c r="CA32" i="8"/>
  <c r="BZ32" i="8"/>
  <c r="BX32" i="8"/>
  <c r="BW32" i="8"/>
  <c r="BV32" i="8"/>
  <c r="BT32" i="8"/>
  <c r="BS32" i="8"/>
  <c r="BR32" i="8"/>
  <c r="BP32" i="8"/>
  <c r="BO32" i="8"/>
  <c r="BN32" i="8"/>
  <c r="BL32" i="8"/>
  <c r="BK32" i="8"/>
  <c r="BJ32" i="8"/>
  <c r="BH32" i="8"/>
  <c r="BG32" i="8"/>
  <c r="BF32" i="8"/>
  <c r="BD32" i="8"/>
  <c r="BC32" i="8"/>
  <c r="BB32" i="8"/>
  <c r="AZ32" i="8"/>
  <c r="AY32" i="8"/>
  <c r="AX32" i="8"/>
  <c r="AV32" i="8"/>
  <c r="AU32" i="8"/>
  <c r="AT32" i="8"/>
  <c r="AR32" i="8"/>
  <c r="AQ32" i="8"/>
  <c r="AP32" i="8"/>
  <c r="AN32" i="8"/>
  <c r="AM32" i="8"/>
  <c r="AL32" i="8"/>
  <c r="AJ32" i="8"/>
  <c r="AI32" i="8"/>
  <c r="AH32" i="8"/>
  <c r="AF32" i="8"/>
  <c r="AE32" i="8"/>
  <c r="AD32" i="8"/>
  <c r="AB32" i="8"/>
  <c r="AA32" i="8"/>
  <c r="Z32" i="8"/>
  <c r="X32" i="8"/>
  <c r="W32" i="8"/>
  <c r="V32" i="8"/>
  <c r="T32" i="8"/>
  <c r="S32" i="8"/>
  <c r="R32" i="8"/>
  <c r="P32" i="8"/>
  <c r="O32" i="8"/>
  <c r="N32" i="8"/>
  <c r="CJ31" i="8"/>
  <c r="CI31" i="8"/>
  <c r="CH31" i="8"/>
  <c r="CF31" i="8"/>
  <c r="CE31" i="8"/>
  <c r="CD31" i="8"/>
  <c r="CB31" i="8"/>
  <c r="CA31" i="8"/>
  <c r="BZ31" i="8"/>
  <c r="BX31" i="8"/>
  <c r="BW31" i="8"/>
  <c r="BV31" i="8"/>
  <c r="BT31" i="8"/>
  <c r="BS31" i="8"/>
  <c r="BR31" i="8"/>
  <c r="BP31" i="8"/>
  <c r="BO31" i="8"/>
  <c r="BN31" i="8"/>
  <c r="BL31" i="8"/>
  <c r="BK31" i="8"/>
  <c r="BJ31" i="8"/>
  <c r="BH31" i="8"/>
  <c r="BG31" i="8"/>
  <c r="BF31" i="8"/>
  <c r="BD31" i="8"/>
  <c r="BC31" i="8"/>
  <c r="BB31" i="8"/>
  <c r="AZ31" i="8"/>
  <c r="AY31" i="8"/>
  <c r="AX31" i="8"/>
  <c r="AV31" i="8"/>
  <c r="AU31" i="8"/>
  <c r="AT31" i="8"/>
  <c r="AR31" i="8"/>
  <c r="AQ31" i="8"/>
  <c r="AP31" i="8"/>
  <c r="AN31" i="8"/>
  <c r="AM31" i="8"/>
  <c r="AL31" i="8"/>
  <c r="AJ31" i="8"/>
  <c r="AI31" i="8"/>
  <c r="AH31" i="8"/>
  <c r="AF31" i="8"/>
  <c r="AE31" i="8"/>
  <c r="AD31" i="8"/>
  <c r="AB31" i="8"/>
  <c r="AA31" i="8"/>
  <c r="Z31" i="8"/>
  <c r="X31" i="8"/>
  <c r="W31" i="8"/>
  <c r="V31" i="8"/>
  <c r="T31" i="8"/>
  <c r="S31" i="8"/>
  <c r="R31" i="8"/>
  <c r="P31" i="8"/>
  <c r="O31" i="8"/>
  <c r="N31" i="8"/>
  <c r="CK30" i="8"/>
  <c r="CJ30" i="8"/>
  <c r="CI30" i="8"/>
  <c r="CG30" i="8" s="1"/>
  <c r="CH30" i="8"/>
  <c r="CF30" i="8"/>
  <c r="CE30" i="8"/>
  <c r="CD30" i="8"/>
  <c r="CB30" i="8"/>
  <c r="CA30" i="8"/>
  <c r="BZ30" i="8"/>
  <c r="BX30" i="8"/>
  <c r="BW30" i="8"/>
  <c r="BV30" i="8"/>
  <c r="BT30" i="8"/>
  <c r="BS30" i="8"/>
  <c r="BR30" i="8"/>
  <c r="BP30" i="8"/>
  <c r="BO30" i="8"/>
  <c r="BN30" i="8"/>
  <c r="BL30" i="8"/>
  <c r="BK30" i="8"/>
  <c r="BJ30" i="8"/>
  <c r="BH30" i="8"/>
  <c r="BG30" i="8"/>
  <c r="BF30" i="8"/>
  <c r="BD30" i="8"/>
  <c r="BC30" i="8"/>
  <c r="BA30" i="8" s="1"/>
  <c r="BB30" i="8"/>
  <c r="AZ30" i="8"/>
  <c r="AY30" i="8"/>
  <c r="AX30" i="8"/>
  <c r="AV30" i="8"/>
  <c r="AU30" i="8"/>
  <c r="AT30" i="8"/>
  <c r="AR30" i="8"/>
  <c r="AQ30" i="8"/>
  <c r="AP30" i="8"/>
  <c r="AN30" i="8"/>
  <c r="AM30" i="8"/>
  <c r="AL30" i="8"/>
  <c r="AJ30" i="8"/>
  <c r="AI30" i="8"/>
  <c r="AH30" i="8"/>
  <c r="AF30" i="8"/>
  <c r="AE30" i="8"/>
  <c r="AD30" i="8"/>
  <c r="AB30" i="8"/>
  <c r="AA30" i="8"/>
  <c r="Z30" i="8"/>
  <c r="X30" i="8"/>
  <c r="W30" i="8"/>
  <c r="U30" i="8" s="1"/>
  <c r="V30" i="8"/>
  <c r="T30" i="8"/>
  <c r="S30" i="8"/>
  <c r="R30" i="8"/>
  <c r="P30" i="8"/>
  <c r="O30" i="8"/>
  <c r="N30" i="8"/>
  <c r="CK29" i="8"/>
  <c r="CJ29" i="8"/>
  <c r="CI29" i="8"/>
  <c r="CH29" i="8"/>
  <c r="CF29" i="8"/>
  <c r="CE29" i="8"/>
  <c r="CD29" i="8"/>
  <c r="CB29" i="8"/>
  <c r="CA29" i="8"/>
  <c r="BZ29" i="8"/>
  <c r="BX29" i="8"/>
  <c r="BW29" i="8"/>
  <c r="BV29" i="8"/>
  <c r="BT29" i="8"/>
  <c r="BS29" i="8"/>
  <c r="BR29" i="8"/>
  <c r="BP29" i="8"/>
  <c r="BO29" i="8"/>
  <c r="BN29" i="8"/>
  <c r="BL29" i="8"/>
  <c r="BK29" i="8"/>
  <c r="BJ29" i="8"/>
  <c r="BH29" i="8"/>
  <c r="BG29" i="8"/>
  <c r="BF29" i="8"/>
  <c r="BD29" i="8"/>
  <c r="BC29" i="8"/>
  <c r="BB29" i="8"/>
  <c r="AZ29" i="8"/>
  <c r="AY29" i="8"/>
  <c r="AX29" i="8"/>
  <c r="AV29" i="8"/>
  <c r="AU29" i="8"/>
  <c r="AT29" i="8"/>
  <c r="AR29" i="8"/>
  <c r="AQ29" i="8"/>
  <c r="AP29" i="8"/>
  <c r="AN29" i="8"/>
  <c r="AM29" i="8"/>
  <c r="AL29" i="8"/>
  <c r="AJ29" i="8"/>
  <c r="AI29" i="8"/>
  <c r="AH29" i="8"/>
  <c r="AF29" i="8"/>
  <c r="AE29" i="8"/>
  <c r="AD29" i="8"/>
  <c r="AB29" i="8"/>
  <c r="AA29" i="8"/>
  <c r="Z29" i="8"/>
  <c r="X29" i="8"/>
  <c r="W29" i="8"/>
  <c r="V29" i="8"/>
  <c r="T29" i="8"/>
  <c r="S29" i="8"/>
  <c r="R29" i="8"/>
  <c r="P29" i="8"/>
  <c r="O29" i="8"/>
  <c r="N29" i="8"/>
  <c r="CK28" i="8"/>
  <c r="CJ28" i="8"/>
  <c r="CI28" i="8"/>
  <c r="CH28" i="8"/>
  <c r="CF28" i="8"/>
  <c r="CE28" i="8"/>
  <c r="CD28" i="8"/>
  <c r="CB28" i="8"/>
  <c r="CA28" i="8"/>
  <c r="BZ28" i="8"/>
  <c r="BX28" i="8"/>
  <c r="BW28" i="8"/>
  <c r="BV28" i="8"/>
  <c r="BT28" i="8"/>
  <c r="BS28" i="8"/>
  <c r="BQ28" i="8" s="1"/>
  <c r="BR28" i="8"/>
  <c r="BP28" i="8"/>
  <c r="BO28" i="8"/>
  <c r="BN28" i="8"/>
  <c r="BL28" i="8"/>
  <c r="BK28" i="8"/>
  <c r="BJ28" i="8"/>
  <c r="BH28" i="8"/>
  <c r="BG28" i="8"/>
  <c r="BF28" i="8"/>
  <c r="BD28" i="8"/>
  <c r="BC28" i="8"/>
  <c r="BB28" i="8"/>
  <c r="AZ28" i="8"/>
  <c r="AY28" i="8"/>
  <c r="AX28" i="8"/>
  <c r="AV28" i="8"/>
  <c r="AU28" i="8"/>
  <c r="AT28" i="8"/>
  <c r="AR28" i="8"/>
  <c r="AQ28" i="8"/>
  <c r="AP28" i="8"/>
  <c r="AN28" i="8"/>
  <c r="AM28" i="8"/>
  <c r="AK28" i="8" s="1"/>
  <c r="AL28" i="8"/>
  <c r="AJ28" i="8"/>
  <c r="AI28" i="8"/>
  <c r="AH28" i="8"/>
  <c r="AF28" i="8"/>
  <c r="AE28" i="8"/>
  <c r="AD28" i="8"/>
  <c r="AB28" i="8"/>
  <c r="AA28" i="8"/>
  <c r="Z28" i="8"/>
  <c r="X28" i="8"/>
  <c r="W28" i="8"/>
  <c r="V28" i="8"/>
  <c r="T28" i="8"/>
  <c r="S28" i="8"/>
  <c r="R28" i="8"/>
  <c r="P28" i="8"/>
  <c r="O28" i="8"/>
  <c r="N28" i="8"/>
  <c r="CK27" i="8"/>
  <c r="CJ27" i="8"/>
  <c r="CI27" i="8"/>
  <c r="CH27" i="8"/>
  <c r="CF27" i="8"/>
  <c r="CE27" i="8"/>
  <c r="CD27" i="8"/>
  <c r="CB27" i="8"/>
  <c r="CA27" i="8"/>
  <c r="BZ27" i="8"/>
  <c r="BX27" i="8"/>
  <c r="BW27" i="8"/>
  <c r="BV27" i="8"/>
  <c r="BT27" i="8"/>
  <c r="BS27" i="8"/>
  <c r="BR27" i="8"/>
  <c r="BP27" i="8"/>
  <c r="BO27" i="8"/>
  <c r="BN27" i="8"/>
  <c r="BL27" i="8"/>
  <c r="BK27" i="8"/>
  <c r="BI27" i="8" s="1"/>
  <c r="BJ27" i="8"/>
  <c r="BH27" i="8"/>
  <c r="BG27" i="8"/>
  <c r="BF27" i="8"/>
  <c r="BD27" i="8"/>
  <c r="BC27" i="8"/>
  <c r="BB27" i="8"/>
  <c r="AZ27" i="8"/>
  <c r="AY27" i="8"/>
  <c r="AX27" i="8"/>
  <c r="AV27" i="8"/>
  <c r="AU27" i="8"/>
  <c r="AT27" i="8"/>
  <c r="AR27" i="8"/>
  <c r="AQ27" i="8"/>
  <c r="AP27" i="8"/>
  <c r="AN27" i="8"/>
  <c r="AM27" i="8"/>
  <c r="AL27" i="8"/>
  <c r="AJ27" i="8"/>
  <c r="AI27" i="8"/>
  <c r="AH27" i="8"/>
  <c r="AF27" i="8"/>
  <c r="AE27" i="8"/>
  <c r="AC27" i="8" s="1"/>
  <c r="AD27" i="8"/>
  <c r="AB27" i="8"/>
  <c r="AA27" i="8"/>
  <c r="Z27" i="8"/>
  <c r="X27" i="8"/>
  <c r="W27" i="8"/>
  <c r="V27" i="8"/>
  <c r="T27" i="8"/>
  <c r="S27" i="8"/>
  <c r="R27" i="8"/>
  <c r="P27" i="8"/>
  <c r="O27" i="8"/>
  <c r="N27" i="8"/>
  <c r="CK26" i="8"/>
  <c r="CJ26" i="8"/>
  <c r="CI26" i="8"/>
  <c r="CG26" i="8" s="1"/>
  <c r="CH26" i="8"/>
  <c r="CF26" i="8"/>
  <c r="CE26" i="8"/>
  <c r="CD26" i="8"/>
  <c r="CB26" i="8"/>
  <c r="CA26" i="8"/>
  <c r="BZ26" i="8"/>
  <c r="BX26" i="8"/>
  <c r="BW26" i="8"/>
  <c r="BV26" i="8"/>
  <c r="BT26" i="8"/>
  <c r="BS26" i="8"/>
  <c r="BR26" i="8"/>
  <c r="BP26" i="8"/>
  <c r="BO26" i="8"/>
  <c r="BN26" i="8"/>
  <c r="BL26" i="8"/>
  <c r="BK26" i="8"/>
  <c r="BJ26" i="8"/>
  <c r="BH26" i="8"/>
  <c r="BG26" i="8"/>
  <c r="BF26" i="8"/>
  <c r="BD26" i="8"/>
  <c r="BC26" i="8"/>
  <c r="BA26" i="8" s="1"/>
  <c r="BB26" i="8"/>
  <c r="AZ26" i="8"/>
  <c r="AY26" i="8"/>
  <c r="AX26" i="8"/>
  <c r="AV26" i="8"/>
  <c r="AU26" i="8"/>
  <c r="AT26" i="8"/>
  <c r="AR26" i="8"/>
  <c r="AQ26" i="8"/>
  <c r="AP26" i="8"/>
  <c r="AN26" i="8"/>
  <c r="AM26" i="8"/>
  <c r="AL26" i="8"/>
  <c r="AJ26" i="8"/>
  <c r="AI26" i="8"/>
  <c r="AH26" i="8"/>
  <c r="AF26" i="8"/>
  <c r="AE26" i="8"/>
  <c r="AD26" i="8"/>
  <c r="AB26" i="8"/>
  <c r="AA26" i="8"/>
  <c r="Z26" i="8"/>
  <c r="X26" i="8"/>
  <c r="W26" i="8"/>
  <c r="U26" i="8" s="1"/>
  <c r="V26" i="8"/>
  <c r="T26" i="8"/>
  <c r="S26" i="8"/>
  <c r="R26" i="8"/>
  <c r="P26" i="8"/>
  <c r="O26" i="8"/>
  <c r="N26" i="8"/>
  <c r="CK25" i="8"/>
  <c r="CJ25" i="8"/>
  <c r="CI25" i="8"/>
  <c r="CH25" i="8"/>
  <c r="CF25" i="8"/>
  <c r="CE25" i="8"/>
  <c r="CD25" i="8"/>
  <c r="CB25" i="8"/>
  <c r="CA25" i="8"/>
  <c r="BY25" i="8" s="1"/>
  <c r="BM7" i="12" s="1"/>
  <c r="BZ25" i="8"/>
  <c r="BX25" i="8"/>
  <c r="BW25" i="8"/>
  <c r="BV25" i="8"/>
  <c r="BT25" i="8"/>
  <c r="BS25" i="8"/>
  <c r="BR25" i="8"/>
  <c r="BP25" i="8"/>
  <c r="BO25" i="8"/>
  <c r="BN25" i="8"/>
  <c r="BL25" i="8"/>
  <c r="BK25" i="8"/>
  <c r="BJ25" i="8"/>
  <c r="BH25" i="8"/>
  <c r="BG25" i="8"/>
  <c r="BF25" i="8"/>
  <c r="BD25" i="8"/>
  <c r="BC25" i="8"/>
  <c r="BB25" i="8"/>
  <c r="AZ25" i="8"/>
  <c r="AY25" i="8"/>
  <c r="AX25" i="8"/>
  <c r="AV25" i="8"/>
  <c r="AU25" i="8"/>
  <c r="AS25" i="8" s="1"/>
  <c r="BE7" i="12" s="1"/>
  <c r="AT25" i="8"/>
  <c r="AR25" i="8"/>
  <c r="AQ25" i="8"/>
  <c r="AP25" i="8"/>
  <c r="AN25" i="8"/>
  <c r="AM25" i="8"/>
  <c r="AL25" i="8"/>
  <c r="AJ25" i="8"/>
  <c r="AI25" i="8"/>
  <c r="AH25" i="8"/>
  <c r="AF25" i="8"/>
  <c r="AE25" i="8"/>
  <c r="AD25" i="8"/>
  <c r="AB25" i="8"/>
  <c r="AA25" i="8"/>
  <c r="Z25" i="8"/>
  <c r="X25" i="8"/>
  <c r="W25" i="8"/>
  <c r="V25" i="8"/>
  <c r="T25" i="8"/>
  <c r="S25" i="8"/>
  <c r="R25" i="8"/>
  <c r="P25" i="8"/>
  <c r="O25" i="8"/>
  <c r="M25" i="8" s="1"/>
  <c r="AW7" i="12" s="1"/>
  <c r="N25" i="8"/>
  <c r="CK24" i="8"/>
  <c r="CJ24" i="8"/>
  <c r="CI24" i="8"/>
  <c r="CH24" i="8"/>
  <c r="CF24" i="8"/>
  <c r="CE24" i="8"/>
  <c r="CD24" i="8"/>
  <c r="CB24" i="8"/>
  <c r="CA24" i="8"/>
  <c r="BZ24" i="8"/>
  <c r="BX24" i="8"/>
  <c r="BW24" i="8"/>
  <c r="BV24" i="8"/>
  <c r="BT24" i="8"/>
  <c r="BS24" i="8"/>
  <c r="BR24" i="8"/>
  <c r="BP24" i="8"/>
  <c r="BO24" i="8"/>
  <c r="BN24" i="8"/>
  <c r="BL24" i="8"/>
  <c r="BK24" i="8"/>
  <c r="BJ24" i="8"/>
  <c r="BH24" i="8"/>
  <c r="BG24" i="8"/>
  <c r="BF24" i="8"/>
  <c r="BD24" i="8"/>
  <c r="BC24" i="8"/>
  <c r="BB24" i="8"/>
  <c r="AZ24" i="8"/>
  <c r="AY24" i="8"/>
  <c r="AX24" i="8"/>
  <c r="AV24" i="8"/>
  <c r="AU24" i="8"/>
  <c r="AT24" i="8"/>
  <c r="AR24" i="8"/>
  <c r="AQ24" i="8"/>
  <c r="AP24" i="8"/>
  <c r="AN24" i="8"/>
  <c r="AM24" i="8"/>
  <c r="AL24" i="8"/>
  <c r="AJ24" i="8"/>
  <c r="AI24" i="8"/>
  <c r="AH24" i="8"/>
  <c r="AF24" i="8"/>
  <c r="AE24" i="8"/>
  <c r="AD24" i="8"/>
  <c r="AB24" i="8"/>
  <c r="AA24" i="8"/>
  <c r="Z24" i="8"/>
  <c r="X24" i="8"/>
  <c r="W24" i="8"/>
  <c r="V24" i="8"/>
  <c r="T24" i="8"/>
  <c r="S24" i="8"/>
  <c r="R24" i="8"/>
  <c r="P24" i="8"/>
  <c r="O24" i="8"/>
  <c r="N24" i="8"/>
  <c r="CK23" i="8"/>
  <c r="BP9" i="12" s="1"/>
  <c r="CJ23" i="8"/>
  <c r="CG23" i="8" s="1"/>
  <c r="BO9" i="12" s="1"/>
  <c r="CI23" i="8"/>
  <c r="CH23" i="8"/>
  <c r="CF23" i="8"/>
  <c r="CE23" i="8"/>
  <c r="CD23" i="8"/>
  <c r="CC23" i="8"/>
  <c r="BN9" i="12" s="1"/>
  <c r="CB23" i="8"/>
  <c r="CA23" i="8"/>
  <c r="BZ23" i="8"/>
  <c r="BX23" i="8"/>
  <c r="BU23" i="8" s="1"/>
  <c r="BL9" i="12" s="1"/>
  <c r="BW23" i="8"/>
  <c r="BV23" i="8"/>
  <c r="BT23" i="8"/>
  <c r="BS23" i="8"/>
  <c r="BR23" i="8"/>
  <c r="BP23" i="8"/>
  <c r="BO23" i="8"/>
  <c r="BN23" i="8"/>
  <c r="BL23" i="8"/>
  <c r="BK23" i="8"/>
  <c r="BJ23" i="8"/>
  <c r="BH23" i="8"/>
  <c r="BG23" i="8"/>
  <c r="BF23" i="8"/>
  <c r="BD23" i="8"/>
  <c r="BC23" i="8"/>
  <c r="BB23" i="8"/>
  <c r="AZ23" i="8"/>
  <c r="AY23" i="8"/>
  <c r="AX23" i="8"/>
  <c r="AV23" i="8"/>
  <c r="AU23" i="8"/>
  <c r="AT23" i="8"/>
  <c r="AR23" i="8"/>
  <c r="AQ23" i="8"/>
  <c r="AP23" i="8"/>
  <c r="AN23" i="8"/>
  <c r="AM23" i="8"/>
  <c r="AL23" i="8"/>
  <c r="AJ23" i="8"/>
  <c r="AI23" i="8"/>
  <c r="AH23" i="8"/>
  <c r="AG23" i="8" s="1"/>
  <c r="BB9" i="12" s="1"/>
  <c r="AF23" i="8"/>
  <c r="AE23" i="8"/>
  <c r="AD23" i="8"/>
  <c r="AB23" i="8"/>
  <c r="AA23" i="8"/>
  <c r="Z23" i="8"/>
  <c r="X23" i="8"/>
  <c r="W23" i="8"/>
  <c r="V23" i="8"/>
  <c r="T23" i="8"/>
  <c r="S23" i="8"/>
  <c r="R23" i="8"/>
  <c r="Q23" i="8" s="1"/>
  <c r="AX9" i="12" s="1"/>
  <c r="P23" i="8"/>
  <c r="O23" i="8"/>
  <c r="N23" i="8"/>
  <c r="J24" i="8"/>
  <c r="K24" i="8"/>
  <c r="L24" i="8"/>
  <c r="J25" i="8"/>
  <c r="K25" i="8"/>
  <c r="L25" i="8"/>
  <c r="J26" i="8"/>
  <c r="K26" i="8"/>
  <c r="L26" i="8"/>
  <c r="J27" i="8"/>
  <c r="K27" i="8"/>
  <c r="L27" i="8"/>
  <c r="J28" i="8"/>
  <c r="K28" i="8"/>
  <c r="L28" i="8"/>
  <c r="J29" i="8"/>
  <c r="K29" i="8"/>
  <c r="L29" i="8"/>
  <c r="J30" i="8"/>
  <c r="K30" i="8"/>
  <c r="L30" i="8"/>
  <c r="J31" i="8"/>
  <c r="K31" i="8"/>
  <c r="L31" i="8"/>
  <c r="J32" i="8"/>
  <c r="K32" i="8"/>
  <c r="L32" i="8"/>
  <c r="J33" i="8"/>
  <c r="K33" i="8"/>
  <c r="L33" i="8"/>
  <c r="J34" i="8"/>
  <c r="K34" i="8"/>
  <c r="L34" i="8"/>
  <c r="J35" i="8"/>
  <c r="K35" i="8"/>
  <c r="L35" i="8"/>
  <c r="J36" i="8"/>
  <c r="K36" i="8"/>
  <c r="L36" i="8"/>
  <c r="L23" i="8"/>
  <c r="K23" i="8"/>
  <c r="I23" i="8" s="1"/>
  <c r="AV9" i="12" s="1"/>
  <c r="J23" i="8"/>
  <c r="B25" i="8"/>
  <c r="B26" i="8"/>
  <c r="B27" i="8"/>
  <c r="B28" i="8"/>
  <c r="B29" i="8"/>
  <c r="B30" i="8"/>
  <c r="B31" i="8"/>
  <c r="B32" i="8"/>
  <c r="B33" i="8"/>
  <c r="B34" i="8"/>
  <c r="B35" i="8"/>
  <c r="B36" i="8"/>
  <c r="B24" i="8"/>
  <c r="DS66" i="9"/>
  <c r="DR66" i="9"/>
  <c r="DP66" i="9" s="1"/>
  <c r="DN66" i="9"/>
  <c r="DM66" i="9"/>
  <c r="DI66" i="9"/>
  <c r="DH66" i="9"/>
  <c r="DD66" i="9"/>
  <c r="DC66" i="9"/>
  <c r="CY66" i="9"/>
  <c r="CX66" i="9"/>
  <c r="CT66" i="9"/>
  <c r="CS66" i="9"/>
  <c r="CQ66" i="9"/>
  <c r="CO66" i="9"/>
  <c r="CN66" i="9"/>
  <c r="CJ66" i="9"/>
  <c r="CI66" i="9"/>
  <c r="CE66" i="9"/>
  <c r="CB66" i="9" s="1"/>
  <c r="CD66" i="9"/>
  <c r="BZ66" i="9"/>
  <c r="BY66" i="9"/>
  <c r="BU66" i="9"/>
  <c r="BT66" i="9"/>
  <c r="BP66" i="9"/>
  <c r="BO66" i="9"/>
  <c r="BK66" i="9"/>
  <c r="BJ66" i="9"/>
  <c r="BH66" i="9" s="1"/>
  <c r="BF66" i="9"/>
  <c r="BE66" i="9"/>
  <c r="BA66" i="9"/>
  <c r="AZ66" i="9"/>
  <c r="AV66" i="9"/>
  <c r="AU66" i="9"/>
  <c r="AS66" i="9" s="1"/>
  <c r="AQ66" i="9"/>
  <c r="AP66" i="9"/>
  <c r="AL66" i="9"/>
  <c r="AK66" i="9"/>
  <c r="AG66" i="9"/>
  <c r="AF66" i="9"/>
  <c r="DS65" i="9"/>
  <c r="DR65" i="9"/>
  <c r="DP65" i="9" s="1"/>
  <c r="DN65" i="9"/>
  <c r="DM65" i="9"/>
  <c r="DI65" i="9"/>
  <c r="DH65" i="9"/>
  <c r="DF65" i="9" s="1"/>
  <c r="DD65" i="9"/>
  <c r="DC65" i="9"/>
  <c r="CY65" i="9"/>
  <c r="CX65" i="9"/>
  <c r="CT65" i="9"/>
  <c r="CS65" i="9"/>
  <c r="CQ65" i="9"/>
  <c r="CO65" i="9"/>
  <c r="CN65" i="9"/>
  <c r="CJ65" i="9"/>
  <c r="CI65" i="9"/>
  <c r="CG65" i="9" s="1"/>
  <c r="CE65" i="9"/>
  <c r="CB65" i="9" s="1"/>
  <c r="CD65" i="9"/>
  <c r="BZ65" i="9"/>
  <c r="BY65" i="9"/>
  <c r="BU65" i="9"/>
  <c r="BT65" i="9"/>
  <c r="BP65" i="9"/>
  <c r="BO65" i="9"/>
  <c r="BM65" i="9" s="1"/>
  <c r="BK65" i="9"/>
  <c r="BJ65" i="9"/>
  <c r="BH65" i="9" s="1"/>
  <c r="BF65" i="9"/>
  <c r="BE65" i="9"/>
  <c r="BC65" i="9" s="1"/>
  <c r="BA65" i="9"/>
  <c r="AZ65" i="9"/>
  <c r="AV65" i="9"/>
  <c r="AU65" i="9"/>
  <c r="AQ65" i="9"/>
  <c r="AP65" i="9"/>
  <c r="AN65" i="9" s="1"/>
  <c r="AL65" i="9"/>
  <c r="AK65" i="9"/>
  <c r="AI65" i="9" s="1"/>
  <c r="AG65" i="9"/>
  <c r="AF65" i="9"/>
  <c r="DS64" i="9"/>
  <c r="DP64" i="9" s="1"/>
  <c r="DR64" i="9"/>
  <c r="DN64" i="9"/>
  <c r="DM64" i="9"/>
  <c r="DI64" i="9"/>
  <c r="DH64" i="9"/>
  <c r="DD64" i="9"/>
  <c r="DC64" i="9"/>
  <c r="CY64" i="9"/>
  <c r="CX64" i="9"/>
  <c r="CV64" i="9" s="1"/>
  <c r="CT64" i="9"/>
  <c r="CS64" i="9"/>
  <c r="CO64" i="9"/>
  <c r="CN64" i="9"/>
  <c r="CJ64" i="9"/>
  <c r="CI64" i="9"/>
  <c r="CG64" i="9" s="1"/>
  <c r="CE64" i="9"/>
  <c r="CD64" i="9"/>
  <c r="BZ64" i="9"/>
  <c r="BY64" i="9"/>
  <c r="BW64" i="9" s="1"/>
  <c r="BU64" i="9"/>
  <c r="BT64" i="9"/>
  <c r="BP64" i="9"/>
  <c r="BO64" i="9"/>
  <c r="BM64" i="9" s="1"/>
  <c r="BK64" i="9"/>
  <c r="BJ64" i="9"/>
  <c r="BF64" i="9"/>
  <c r="BE64" i="9"/>
  <c r="BC64" i="9"/>
  <c r="BA64" i="9"/>
  <c r="AZ64" i="9"/>
  <c r="AV64" i="9"/>
  <c r="AU64" i="9"/>
  <c r="AQ64" i="9"/>
  <c r="AP64" i="9"/>
  <c r="AN64" i="9"/>
  <c r="AL64" i="9"/>
  <c r="AI64" i="9" s="1"/>
  <c r="AK64" i="9"/>
  <c r="AG64" i="9"/>
  <c r="AF64" i="9"/>
  <c r="DS63" i="9"/>
  <c r="DP63" i="9" s="1"/>
  <c r="DR63" i="9"/>
  <c r="DN63" i="9"/>
  <c r="DM63" i="9"/>
  <c r="DI63" i="9"/>
  <c r="DH63" i="9"/>
  <c r="DD63" i="9"/>
  <c r="DC63" i="9"/>
  <c r="DA63" i="9" s="1"/>
  <c r="CY63" i="9"/>
  <c r="CX63" i="9"/>
  <c r="CT63" i="9"/>
  <c r="CS63" i="9"/>
  <c r="CQ63" i="9" s="1"/>
  <c r="CO63" i="9"/>
  <c r="CN63" i="9"/>
  <c r="CJ63" i="9"/>
  <c r="CI63" i="9"/>
  <c r="CE63" i="9"/>
  <c r="CD63" i="9"/>
  <c r="CB63" i="9" s="1"/>
  <c r="BZ63" i="9"/>
  <c r="BY63" i="9"/>
  <c r="BU63" i="9"/>
  <c r="BT63" i="9"/>
  <c r="BP63" i="9"/>
  <c r="BO63" i="9"/>
  <c r="BK63" i="9"/>
  <c r="BJ63" i="9"/>
  <c r="BH63" i="9" s="1"/>
  <c r="BF63" i="9"/>
  <c r="BE63" i="9"/>
  <c r="BC63" i="9" s="1"/>
  <c r="BA63" i="9"/>
  <c r="AZ63" i="9"/>
  <c r="AV63" i="9"/>
  <c r="AU63" i="9"/>
  <c r="AQ63" i="9"/>
  <c r="AP63" i="9"/>
  <c r="AL63" i="9"/>
  <c r="AI63" i="9" s="1"/>
  <c r="AK63" i="9"/>
  <c r="AG63" i="9"/>
  <c r="AF63" i="9"/>
  <c r="DS62" i="9"/>
  <c r="DR62" i="9"/>
  <c r="DN62" i="9"/>
  <c r="DM62" i="9"/>
  <c r="DI62" i="9"/>
  <c r="DH62" i="9"/>
  <c r="DD62" i="9"/>
  <c r="DC62" i="9"/>
  <c r="DA62" i="9" s="1"/>
  <c r="CY62" i="9"/>
  <c r="CX62" i="9"/>
  <c r="CT62" i="9"/>
  <c r="CS62" i="9"/>
  <c r="CQ62" i="9"/>
  <c r="CO62" i="9"/>
  <c r="CN62" i="9"/>
  <c r="CJ62" i="9"/>
  <c r="CI62" i="9"/>
  <c r="CE62" i="9"/>
  <c r="CD62" i="9"/>
  <c r="CB62" i="9"/>
  <c r="BZ62" i="9"/>
  <c r="BW62" i="9" s="1"/>
  <c r="BY62" i="9"/>
  <c r="BU62" i="9"/>
  <c r="BT62" i="9"/>
  <c r="BP62" i="9"/>
  <c r="BO62" i="9"/>
  <c r="BK62" i="9"/>
  <c r="BJ62" i="9"/>
  <c r="BH62" i="9" s="1"/>
  <c r="BF62" i="9"/>
  <c r="BC62" i="9" s="1"/>
  <c r="BE62" i="9"/>
  <c r="BA62" i="9"/>
  <c r="AZ62" i="9"/>
  <c r="AV62" i="9"/>
  <c r="AU62" i="9"/>
  <c r="AQ62" i="9"/>
  <c r="AP62" i="9"/>
  <c r="AN62" i="9" s="1"/>
  <c r="AL62" i="9"/>
  <c r="AK62" i="9"/>
  <c r="AG62" i="9"/>
  <c r="AF62" i="9"/>
  <c r="DS61" i="9"/>
  <c r="DR61" i="9"/>
  <c r="DN61" i="9"/>
  <c r="DM61" i="9"/>
  <c r="DK61" i="9" s="1"/>
  <c r="DI61" i="9"/>
  <c r="DH61" i="9"/>
  <c r="DD61" i="9"/>
  <c r="DC61" i="9"/>
  <c r="CY61" i="9"/>
  <c r="CX61" i="9"/>
  <c r="CV61" i="9" s="1"/>
  <c r="CT61" i="9"/>
  <c r="CS61" i="9"/>
  <c r="CO61" i="9"/>
  <c r="CN61" i="9"/>
  <c r="CJ61" i="9"/>
  <c r="CI61" i="9"/>
  <c r="CE61" i="9"/>
  <c r="CD61" i="9"/>
  <c r="BZ61" i="9"/>
  <c r="BY61" i="9"/>
  <c r="BU61" i="9"/>
  <c r="BT61" i="9"/>
  <c r="BP61" i="9"/>
  <c r="BO61" i="9"/>
  <c r="BK61" i="9"/>
  <c r="BJ61" i="9"/>
  <c r="BH61" i="9" s="1"/>
  <c r="BF61" i="9"/>
  <c r="BE61" i="9"/>
  <c r="BC61" i="9" s="1"/>
  <c r="BA61" i="9"/>
  <c r="AX61" i="9" s="1"/>
  <c r="AZ61" i="9"/>
  <c r="AV61" i="9"/>
  <c r="AU61" i="9"/>
  <c r="AS61" i="9" s="1"/>
  <c r="AQ61" i="9"/>
  <c r="AP61" i="9"/>
  <c r="AL61" i="9"/>
  <c r="AK61" i="9"/>
  <c r="AI61" i="9" s="1"/>
  <c r="AG61" i="9"/>
  <c r="AD61" i="9" s="1"/>
  <c r="AF61" i="9"/>
  <c r="DS60" i="9"/>
  <c r="DR60" i="9"/>
  <c r="DP60" i="9" s="1"/>
  <c r="DN60" i="9"/>
  <c r="DM60" i="9"/>
  <c r="DI60" i="9"/>
  <c r="DH60" i="9"/>
  <c r="DF60" i="9" s="1"/>
  <c r="DD60" i="9"/>
  <c r="DC60" i="9"/>
  <c r="CY60" i="9"/>
  <c r="CX60" i="9"/>
  <c r="CT60" i="9"/>
  <c r="CS60" i="9"/>
  <c r="CO60" i="9"/>
  <c r="CN60" i="9"/>
  <c r="CJ60" i="9"/>
  <c r="CI60" i="9"/>
  <c r="CE60" i="9"/>
  <c r="CD60" i="9"/>
  <c r="CB60" i="9" s="1"/>
  <c r="BZ60" i="9"/>
  <c r="BY60" i="9"/>
  <c r="BU60" i="9"/>
  <c r="BT60" i="9"/>
  <c r="BR60" i="9"/>
  <c r="BP60" i="9"/>
  <c r="BO60" i="9"/>
  <c r="BK60" i="9"/>
  <c r="BJ60" i="9"/>
  <c r="BF60" i="9"/>
  <c r="BE60" i="9"/>
  <c r="BA60" i="9"/>
  <c r="AZ60" i="9"/>
  <c r="AX60" i="9" s="1"/>
  <c r="AV60" i="9"/>
  <c r="AU60" i="9"/>
  <c r="AS60" i="9" s="1"/>
  <c r="AQ60" i="9"/>
  <c r="AP60" i="9"/>
  <c r="AL60" i="9"/>
  <c r="AK60" i="9"/>
  <c r="AG60" i="9"/>
  <c r="AF60" i="9"/>
  <c r="DS59" i="9"/>
  <c r="DR59" i="9"/>
  <c r="DP59" i="9" s="1"/>
  <c r="DN59" i="9"/>
  <c r="DM59" i="9"/>
  <c r="DI59" i="9"/>
  <c r="DH59" i="9"/>
  <c r="DF59" i="9"/>
  <c r="DD59" i="9"/>
  <c r="DC59" i="9"/>
  <c r="CY59" i="9"/>
  <c r="CX59" i="9"/>
  <c r="CT59" i="9"/>
  <c r="CS59" i="9"/>
  <c r="CO59" i="9"/>
  <c r="CN59" i="9"/>
  <c r="CL59" i="9" s="1"/>
  <c r="CJ59" i="9"/>
  <c r="CI59" i="9"/>
  <c r="CE59" i="9"/>
  <c r="CD59" i="9"/>
  <c r="BZ59" i="9"/>
  <c r="BY59" i="9"/>
  <c r="BU59" i="9"/>
  <c r="BT59" i="9"/>
  <c r="BP59" i="9"/>
  <c r="BO59" i="9"/>
  <c r="BK59" i="9"/>
  <c r="BJ59" i="9"/>
  <c r="BF59" i="9"/>
  <c r="BE59" i="9"/>
  <c r="BA59" i="9"/>
  <c r="AZ59" i="9"/>
  <c r="AX59" i="9" s="1"/>
  <c r="AV59" i="9"/>
  <c r="AU59" i="9"/>
  <c r="AQ59" i="9"/>
  <c r="AP59" i="9"/>
  <c r="AL59" i="9"/>
  <c r="AK59" i="9"/>
  <c r="AG59" i="9"/>
  <c r="AF59" i="9"/>
  <c r="DS58" i="9"/>
  <c r="DR58" i="9"/>
  <c r="DN58" i="9"/>
  <c r="DM58" i="9"/>
  <c r="DI58" i="9"/>
  <c r="DH58" i="9"/>
  <c r="DF58" i="9" s="1"/>
  <c r="DD58" i="9"/>
  <c r="DC58" i="9"/>
  <c r="CY58" i="9"/>
  <c r="CX58" i="9"/>
  <c r="CV58" i="9" s="1"/>
  <c r="CT58" i="9"/>
  <c r="CS58" i="9"/>
  <c r="CO58" i="9"/>
  <c r="CN58" i="9"/>
  <c r="CL58" i="9" s="1"/>
  <c r="CJ58" i="9"/>
  <c r="CI58" i="9"/>
  <c r="CG58" i="9" s="1"/>
  <c r="CE58" i="9"/>
  <c r="CD58" i="9"/>
  <c r="BZ58" i="9"/>
  <c r="BY58" i="9"/>
  <c r="BU58" i="9"/>
  <c r="BT58" i="9"/>
  <c r="BP58" i="9"/>
  <c r="BO58" i="9"/>
  <c r="BM58" i="9" s="1"/>
  <c r="BK58" i="9"/>
  <c r="BJ58" i="9"/>
  <c r="BF58" i="9"/>
  <c r="BE58" i="9"/>
  <c r="BA58" i="9"/>
  <c r="AX58" i="9" s="1"/>
  <c r="AZ58" i="9"/>
  <c r="AV58" i="9"/>
  <c r="AU58" i="9"/>
  <c r="AS58" i="9" s="1"/>
  <c r="AQ58" i="9"/>
  <c r="AN58" i="9" s="1"/>
  <c r="AP58" i="9"/>
  <c r="AL58" i="9"/>
  <c r="AK58" i="9"/>
  <c r="AG58" i="9"/>
  <c r="AF58" i="9"/>
  <c r="AD58" i="9" s="1"/>
  <c r="DS57" i="9"/>
  <c r="DR57" i="9"/>
  <c r="DN57" i="9"/>
  <c r="DM57" i="9"/>
  <c r="DI57" i="9"/>
  <c r="DH57" i="9"/>
  <c r="DD57" i="9"/>
  <c r="DC57" i="9"/>
  <c r="CY57" i="9"/>
  <c r="CX57" i="9"/>
  <c r="CT57" i="9"/>
  <c r="CS57" i="9"/>
  <c r="CO57" i="9"/>
  <c r="CN57" i="9"/>
  <c r="CJ57" i="9"/>
  <c r="CI57" i="9"/>
  <c r="CE57" i="9"/>
  <c r="CD57" i="9"/>
  <c r="BZ57" i="9"/>
  <c r="BY57" i="9"/>
  <c r="BU57" i="9"/>
  <c r="BT57" i="9"/>
  <c r="BP57" i="9"/>
  <c r="BO57" i="9"/>
  <c r="BM57" i="9" s="1"/>
  <c r="BK57" i="9"/>
  <c r="BJ57" i="9"/>
  <c r="BF57" i="9"/>
  <c r="BE57" i="9"/>
  <c r="BC57" i="9" s="1"/>
  <c r="BA57" i="9"/>
  <c r="AZ57" i="9"/>
  <c r="AV57" i="9"/>
  <c r="AU57" i="9"/>
  <c r="AS57" i="9" s="1"/>
  <c r="AQ57" i="9"/>
  <c r="AP57" i="9"/>
  <c r="AL57" i="9"/>
  <c r="AK57" i="9"/>
  <c r="AI57" i="9" s="1"/>
  <c r="AG57" i="9"/>
  <c r="AD57" i="9" s="1"/>
  <c r="AF57" i="9"/>
  <c r="DS56" i="9"/>
  <c r="DR56" i="9"/>
  <c r="DN56" i="9"/>
  <c r="DM56" i="9"/>
  <c r="DI56" i="9"/>
  <c r="DH56" i="9"/>
  <c r="DD56" i="9"/>
  <c r="DC56" i="9"/>
  <c r="CY56" i="9"/>
  <c r="CX56" i="9"/>
  <c r="CT56" i="9"/>
  <c r="CS56" i="9"/>
  <c r="CO56" i="9"/>
  <c r="CN56" i="9"/>
  <c r="CL56" i="9" s="1"/>
  <c r="CJ56" i="9"/>
  <c r="CI56" i="9"/>
  <c r="CE56" i="9"/>
  <c r="CD56" i="9"/>
  <c r="BZ56" i="9"/>
  <c r="BY56" i="9"/>
  <c r="BU56" i="9"/>
  <c r="BT56" i="9"/>
  <c r="BP56" i="9"/>
  <c r="BO56" i="9"/>
  <c r="BK56" i="9"/>
  <c r="BJ56" i="9"/>
  <c r="BF56" i="9"/>
  <c r="BE56" i="9"/>
  <c r="BA56" i="9"/>
  <c r="AZ56" i="9"/>
  <c r="AX56" i="9" s="1"/>
  <c r="AV56" i="9"/>
  <c r="AU56" i="9"/>
  <c r="AQ56" i="9"/>
  <c r="AP56" i="9"/>
  <c r="AL56" i="9"/>
  <c r="AK56" i="9"/>
  <c r="AG56" i="9"/>
  <c r="AF56" i="9"/>
  <c r="AD56" i="9" s="1"/>
  <c r="DS55" i="9"/>
  <c r="DR55" i="9"/>
  <c r="DN55" i="9"/>
  <c r="DM55" i="9"/>
  <c r="DI55" i="9"/>
  <c r="DH55" i="9"/>
  <c r="DF55" i="9" s="1"/>
  <c r="DD55" i="9"/>
  <c r="DC55" i="9"/>
  <c r="CY55" i="9"/>
  <c r="CX55" i="9"/>
  <c r="CT55" i="9"/>
  <c r="CS55" i="9"/>
  <c r="CO55" i="9"/>
  <c r="CN55" i="9"/>
  <c r="CL55" i="9" s="1"/>
  <c r="CJ55" i="9"/>
  <c r="CI55" i="9"/>
  <c r="CG55" i="9" s="1"/>
  <c r="CE55" i="9"/>
  <c r="CD55" i="9"/>
  <c r="BZ55" i="9"/>
  <c r="BY55" i="9"/>
  <c r="BW55" i="9" s="1"/>
  <c r="BU55" i="9"/>
  <c r="BT55" i="9"/>
  <c r="BP55" i="9"/>
  <c r="BO55" i="9"/>
  <c r="BM55" i="9" s="1"/>
  <c r="BK55" i="9"/>
  <c r="BH55" i="9" s="1"/>
  <c r="BJ55" i="9"/>
  <c r="BF55" i="9"/>
  <c r="BE55" i="9"/>
  <c r="BC55" i="9" s="1"/>
  <c r="BA55" i="9"/>
  <c r="AZ55" i="9"/>
  <c r="AV55" i="9"/>
  <c r="AU55" i="9"/>
  <c r="AS55" i="9" s="1"/>
  <c r="AQ55" i="9"/>
  <c r="AP55" i="9"/>
  <c r="AL55" i="9"/>
  <c r="AK55" i="9"/>
  <c r="AI55" i="9" s="1"/>
  <c r="AG55" i="9"/>
  <c r="AF55" i="9"/>
  <c r="AD55" i="9" s="1"/>
  <c r="DS54" i="9"/>
  <c r="DR54" i="9"/>
  <c r="DN54" i="9"/>
  <c r="DM54" i="9"/>
  <c r="DK54" i="9" s="1"/>
  <c r="DI54" i="9"/>
  <c r="DH54" i="9"/>
  <c r="DD54" i="9"/>
  <c r="DC54" i="9"/>
  <c r="CY54" i="9"/>
  <c r="CX54" i="9"/>
  <c r="CT54" i="9"/>
  <c r="CS54" i="9"/>
  <c r="CQ54" i="9" s="1"/>
  <c r="CO54" i="9"/>
  <c r="CN54" i="9"/>
  <c r="CJ54" i="9"/>
  <c r="CI54" i="9"/>
  <c r="CE54" i="9"/>
  <c r="CD54" i="9"/>
  <c r="BZ54" i="9"/>
  <c r="BY54" i="9"/>
  <c r="BU54" i="9"/>
  <c r="BT54" i="9"/>
  <c r="BR54" i="9"/>
  <c r="BP54" i="9"/>
  <c r="BO54" i="9"/>
  <c r="BK54" i="9"/>
  <c r="BJ54" i="9"/>
  <c r="BF54" i="9"/>
  <c r="BE54" i="9"/>
  <c r="BA54" i="9"/>
  <c r="AZ54" i="9"/>
  <c r="AX54" i="9" s="1"/>
  <c r="AV54" i="9"/>
  <c r="AU54" i="9"/>
  <c r="AQ54" i="9"/>
  <c r="AP54" i="9"/>
  <c r="AL54" i="9"/>
  <c r="AK54" i="9"/>
  <c r="AG54" i="9"/>
  <c r="AF54" i="9"/>
  <c r="DS53" i="9"/>
  <c r="DR53" i="9"/>
  <c r="DN53" i="9"/>
  <c r="DM53" i="9"/>
  <c r="DI53" i="9"/>
  <c r="DH53" i="9"/>
  <c r="DD53" i="9"/>
  <c r="DC53" i="9"/>
  <c r="DA53" i="9" s="1"/>
  <c r="CY53" i="9"/>
  <c r="CX53" i="9"/>
  <c r="CT53" i="9"/>
  <c r="CS53" i="9"/>
  <c r="CO53" i="9"/>
  <c r="CL53" i="9" s="1"/>
  <c r="CN53" i="9"/>
  <c r="CJ53" i="9"/>
  <c r="CI53" i="9"/>
  <c r="CG53" i="9" s="1"/>
  <c r="CE53" i="9"/>
  <c r="CD53" i="9"/>
  <c r="BZ53" i="9"/>
  <c r="BY53" i="9"/>
  <c r="BU53" i="9"/>
  <c r="BT53" i="9"/>
  <c r="BP53" i="9"/>
  <c r="BO53" i="9"/>
  <c r="BK53" i="9"/>
  <c r="BJ53" i="9"/>
  <c r="BF53" i="9"/>
  <c r="BE53" i="9"/>
  <c r="BA53" i="9"/>
  <c r="AZ53" i="9"/>
  <c r="AX53" i="9"/>
  <c r="AV53" i="9"/>
  <c r="AU53" i="9"/>
  <c r="AQ53" i="9"/>
  <c r="AP53" i="9"/>
  <c r="AL53" i="9"/>
  <c r="AK53" i="9"/>
  <c r="AG53" i="9"/>
  <c r="AF53" i="9"/>
  <c r="AD53" i="9" s="1"/>
  <c r="DS52" i="9"/>
  <c r="DR52" i="9"/>
  <c r="DN52" i="9"/>
  <c r="DM52" i="9"/>
  <c r="DI52" i="9"/>
  <c r="DH52" i="9"/>
  <c r="DD52" i="9"/>
  <c r="DC52" i="9"/>
  <c r="CY52" i="9"/>
  <c r="CX52" i="9"/>
  <c r="CT52" i="9"/>
  <c r="CS52" i="9"/>
  <c r="CO52" i="9"/>
  <c r="CN52" i="9"/>
  <c r="CJ52" i="9"/>
  <c r="CI52" i="9"/>
  <c r="CE52" i="9"/>
  <c r="CB52" i="9" s="1"/>
  <c r="CD52" i="9"/>
  <c r="BZ52" i="9"/>
  <c r="BY52" i="9"/>
  <c r="BU52" i="9"/>
  <c r="BR52" i="9" s="1"/>
  <c r="BT52" i="9"/>
  <c r="BP52" i="9"/>
  <c r="BO52" i="9"/>
  <c r="BK52" i="9"/>
  <c r="BJ52" i="9"/>
  <c r="BF52" i="9"/>
  <c r="BE52" i="9"/>
  <c r="BA52" i="9"/>
  <c r="AZ52" i="9"/>
  <c r="AX52" i="9" s="1"/>
  <c r="AV52" i="9"/>
  <c r="AU52" i="9"/>
  <c r="AQ52" i="9"/>
  <c r="AP52" i="9"/>
  <c r="AL52" i="9"/>
  <c r="AK52" i="9"/>
  <c r="AG52" i="9"/>
  <c r="AF52" i="9"/>
  <c r="AD52" i="9" s="1"/>
  <c r="DS51" i="9"/>
  <c r="DR51" i="9"/>
  <c r="DN51" i="9"/>
  <c r="DM51" i="9"/>
  <c r="DI51" i="9"/>
  <c r="DH51" i="9"/>
  <c r="DF51" i="9" s="1"/>
  <c r="DD51" i="9"/>
  <c r="DC51" i="9"/>
  <c r="CY51" i="9"/>
  <c r="CX51" i="9"/>
  <c r="CT51" i="9"/>
  <c r="CS51" i="9"/>
  <c r="CO51" i="9"/>
  <c r="CN51" i="9"/>
  <c r="CJ51" i="9"/>
  <c r="CI51" i="9"/>
  <c r="CE51" i="9"/>
  <c r="CB51" i="9" s="1"/>
  <c r="CD51" i="9"/>
  <c r="BZ51" i="9"/>
  <c r="BY51" i="9"/>
  <c r="BU51" i="9"/>
  <c r="BT51" i="9"/>
  <c r="BP51" i="9"/>
  <c r="BO51" i="9"/>
  <c r="BK51" i="9"/>
  <c r="BJ51" i="9"/>
  <c r="BF51" i="9"/>
  <c r="BE51" i="9"/>
  <c r="BC51" i="9" s="1"/>
  <c r="BA51" i="9"/>
  <c r="AZ51" i="9"/>
  <c r="AV51" i="9"/>
  <c r="AU51" i="9"/>
  <c r="AS51" i="9" s="1"/>
  <c r="AQ51" i="9"/>
  <c r="AP51" i="9"/>
  <c r="AL51" i="9"/>
  <c r="AK51" i="9"/>
  <c r="AI51" i="9" s="1"/>
  <c r="AG51" i="9"/>
  <c r="AF51" i="9"/>
  <c r="DS50" i="9"/>
  <c r="DR50" i="9"/>
  <c r="DP50" i="9" s="1"/>
  <c r="DN50" i="9"/>
  <c r="DK50" i="9" s="1"/>
  <c r="DM50" i="9"/>
  <c r="DI50" i="9"/>
  <c r="DH50" i="9"/>
  <c r="DF50" i="9" s="1"/>
  <c r="DD50" i="9"/>
  <c r="DC50" i="9"/>
  <c r="CY50" i="9"/>
  <c r="CX50" i="9"/>
  <c r="CT50" i="9"/>
  <c r="CS50" i="9"/>
  <c r="CO50" i="9"/>
  <c r="CN50" i="9"/>
  <c r="CJ50" i="9"/>
  <c r="CI50" i="9"/>
  <c r="CE50" i="9"/>
  <c r="CD50" i="9"/>
  <c r="CB50" i="9"/>
  <c r="BZ50" i="9"/>
  <c r="BY50" i="9"/>
  <c r="BU50" i="9"/>
  <c r="BT50" i="9"/>
  <c r="BP50" i="9"/>
  <c r="BO50" i="9"/>
  <c r="BK50" i="9"/>
  <c r="BJ50" i="9"/>
  <c r="BH50" i="9" s="1"/>
  <c r="BF50" i="9"/>
  <c r="BE50" i="9"/>
  <c r="BA50" i="9"/>
  <c r="AZ50" i="9"/>
  <c r="AV50" i="9"/>
  <c r="AU50" i="9"/>
  <c r="AQ50" i="9"/>
  <c r="AP50" i="9"/>
  <c r="AL50" i="9"/>
  <c r="AK50" i="9"/>
  <c r="AI50" i="9"/>
  <c r="AG50" i="9"/>
  <c r="AF50" i="9"/>
  <c r="DS49" i="9"/>
  <c r="DR49" i="9"/>
  <c r="DP49" i="9" s="1"/>
  <c r="DN49" i="9"/>
  <c r="DM49" i="9"/>
  <c r="DI49" i="9"/>
  <c r="DH49" i="9"/>
  <c r="DD49" i="9"/>
  <c r="DC49" i="9"/>
  <c r="CY49" i="9"/>
  <c r="CX49" i="9"/>
  <c r="CT49" i="9"/>
  <c r="CS49" i="9"/>
  <c r="CO49" i="9"/>
  <c r="CN49" i="9"/>
  <c r="CJ49" i="9"/>
  <c r="CI49" i="9"/>
  <c r="CE49" i="9"/>
  <c r="CD49" i="9"/>
  <c r="CB49" i="9" s="1"/>
  <c r="BZ49" i="9"/>
  <c r="BY49" i="9"/>
  <c r="BU49" i="9"/>
  <c r="BT49" i="9"/>
  <c r="BP49" i="9"/>
  <c r="BO49" i="9"/>
  <c r="BK49" i="9"/>
  <c r="BJ49" i="9"/>
  <c r="BH49" i="9" s="1"/>
  <c r="BF49" i="9"/>
  <c r="BE49" i="9"/>
  <c r="BA49" i="9"/>
  <c r="AZ49" i="9"/>
  <c r="AV49" i="9"/>
  <c r="AU49" i="9"/>
  <c r="AQ49" i="9"/>
  <c r="AP49" i="9"/>
  <c r="AL49" i="9"/>
  <c r="AK49" i="9"/>
  <c r="AG49" i="9"/>
  <c r="AF49" i="9"/>
  <c r="DS48" i="9"/>
  <c r="DR48" i="9"/>
  <c r="DN48" i="9"/>
  <c r="DM48" i="9"/>
  <c r="DK48" i="9"/>
  <c r="DI48" i="9"/>
  <c r="DH48" i="9"/>
  <c r="DD48" i="9"/>
  <c r="DC48" i="9"/>
  <c r="CY48" i="9"/>
  <c r="CX48" i="9"/>
  <c r="CV48" i="9"/>
  <c r="CT48" i="9"/>
  <c r="CQ48" i="9" s="1"/>
  <c r="CS48" i="9"/>
  <c r="CO48" i="9"/>
  <c r="CN48" i="9"/>
  <c r="CJ48" i="9"/>
  <c r="CI48" i="9"/>
  <c r="CE48" i="9"/>
  <c r="CD48" i="9"/>
  <c r="CB48" i="9" s="1"/>
  <c r="BZ48" i="9"/>
  <c r="BY48" i="9"/>
  <c r="BU48" i="9"/>
  <c r="BT48" i="9"/>
  <c r="BP48" i="9"/>
  <c r="BO48" i="9"/>
  <c r="BK48" i="9"/>
  <c r="BJ48" i="9"/>
  <c r="BH48" i="9"/>
  <c r="BF48" i="9"/>
  <c r="BE48" i="9"/>
  <c r="BA48" i="9"/>
  <c r="AZ48" i="9"/>
  <c r="AV48" i="9"/>
  <c r="AU48" i="9"/>
  <c r="AS48" i="9" s="1"/>
  <c r="AQ48" i="9"/>
  <c r="AP48" i="9"/>
  <c r="AN48" i="9" s="1"/>
  <c r="AL48" i="9"/>
  <c r="AK48" i="9"/>
  <c r="AI48" i="9"/>
  <c r="AG48" i="9"/>
  <c r="AF48" i="9"/>
  <c r="DS47" i="9"/>
  <c r="DR47" i="9"/>
  <c r="DP47" i="9" s="1"/>
  <c r="DN47" i="9"/>
  <c r="DK47" i="9" s="1"/>
  <c r="DM47" i="9"/>
  <c r="DI47" i="9"/>
  <c r="DH47" i="9"/>
  <c r="DD47" i="9"/>
  <c r="DC47" i="9"/>
  <c r="CY47" i="9"/>
  <c r="CX47" i="9"/>
  <c r="CV47" i="9" s="1"/>
  <c r="CT47" i="9"/>
  <c r="CS47" i="9"/>
  <c r="CO47" i="9"/>
  <c r="CN47" i="9"/>
  <c r="CJ47" i="9"/>
  <c r="CI47" i="9"/>
  <c r="CG47" i="9" s="1"/>
  <c r="CE47" i="9"/>
  <c r="CD47" i="9"/>
  <c r="BZ47" i="9"/>
  <c r="BW47" i="9" s="1"/>
  <c r="BY47" i="9"/>
  <c r="BU47" i="9"/>
  <c r="BT47" i="9"/>
  <c r="BP47" i="9"/>
  <c r="BO47" i="9"/>
  <c r="BK47" i="9"/>
  <c r="BJ47" i="9"/>
  <c r="BH47" i="9" s="1"/>
  <c r="BF47" i="9"/>
  <c r="BE47" i="9"/>
  <c r="BA47" i="9"/>
  <c r="AZ47" i="9"/>
  <c r="AV47" i="9"/>
  <c r="AU47" i="9"/>
  <c r="AQ47" i="9"/>
  <c r="AP47" i="9"/>
  <c r="AL47" i="9"/>
  <c r="AK47" i="9"/>
  <c r="AG47" i="9"/>
  <c r="AF47" i="9"/>
  <c r="DS46" i="9"/>
  <c r="DR46" i="9"/>
  <c r="DP46" i="9" s="1"/>
  <c r="DN46" i="9"/>
  <c r="DM46" i="9"/>
  <c r="DI46" i="9"/>
  <c r="DH46" i="9"/>
  <c r="DD46" i="9"/>
  <c r="DC46" i="9"/>
  <c r="CY46" i="9"/>
  <c r="CX46" i="9"/>
  <c r="CV46" i="9" s="1"/>
  <c r="CT46" i="9"/>
  <c r="CS46" i="9"/>
  <c r="CO46" i="9"/>
  <c r="CN46" i="9"/>
  <c r="CJ46" i="9"/>
  <c r="CI46" i="9"/>
  <c r="CE46" i="9"/>
  <c r="CD46" i="9"/>
  <c r="CB46" i="9" s="1"/>
  <c r="BZ46" i="9"/>
  <c r="BW46" i="9" s="1"/>
  <c r="BY46" i="9"/>
  <c r="BU46" i="9"/>
  <c r="BT46" i="9"/>
  <c r="BP46" i="9"/>
  <c r="BO46" i="9"/>
  <c r="BK46" i="9"/>
  <c r="BJ46" i="9"/>
  <c r="BH46" i="9" s="1"/>
  <c r="BF46" i="9"/>
  <c r="BC46" i="9" s="1"/>
  <c r="BE46" i="9"/>
  <c r="BA46" i="9"/>
  <c r="AZ46" i="9"/>
  <c r="AV46" i="9"/>
  <c r="AU46" i="9"/>
  <c r="AS46" i="9" s="1"/>
  <c r="AQ46" i="9"/>
  <c r="AP46" i="9"/>
  <c r="AL46" i="9"/>
  <c r="AK46" i="9"/>
  <c r="AG46" i="9"/>
  <c r="AF46" i="9"/>
  <c r="AD46" i="9" s="1"/>
  <c r="DS45" i="9"/>
  <c r="DR45" i="9"/>
  <c r="DN45" i="9"/>
  <c r="DM45" i="9"/>
  <c r="DK45" i="9" s="1"/>
  <c r="DI45" i="9"/>
  <c r="DH45" i="9"/>
  <c r="DD45" i="9"/>
  <c r="DC45" i="9"/>
  <c r="CY45" i="9"/>
  <c r="CX45" i="9"/>
  <c r="CV45" i="9" s="1"/>
  <c r="CT45" i="9"/>
  <c r="CS45" i="9"/>
  <c r="CO45" i="9"/>
  <c r="CN45" i="9"/>
  <c r="CJ45" i="9"/>
  <c r="CI45" i="9"/>
  <c r="CE45" i="9"/>
  <c r="CD45" i="9"/>
  <c r="BZ45" i="9"/>
  <c r="BY45" i="9"/>
  <c r="BW45" i="9" s="1"/>
  <c r="BU45" i="9"/>
  <c r="BT45" i="9"/>
  <c r="BP45" i="9"/>
  <c r="BO45" i="9"/>
  <c r="BK45" i="9"/>
  <c r="BJ45" i="9"/>
  <c r="BH45" i="9" s="1"/>
  <c r="BF45" i="9"/>
  <c r="BE45" i="9"/>
  <c r="BC45" i="9" s="1"/>
  <c r="BA45" i="9"/>
  <c r="AZ45" i="9"/>
  <c r="AV45" i="9"/>
  <c r="AU45" i="9"/>
  <c r="AS45" i="9" s="1"/>
  <c r="AQ45" i="9"/>
  <c r="AP45" i="9"/>
  <c r="AL45" i="9"/>
  <c r="AK45" i="9"/>
  <c r="AG45" i="9"/>
  <c r="AF45" i="9"/>
  <c r="DS44" i="9"/>
  <c r="DR44" i="9"/>
  <c r="DN44" i="9"/>
  <c r="DM44" i="9"/>
  <c r="DK44" i="9"/>
  <c r="DI44" i="9"/>
  <c r="DH44" i="9"/>
  <c r="DD44" i="9"/>
  <c r="DC44" i="9"/>
  <c r="CY44" i="9"/>
  <c r="CX44" i="9"/>
  <c r="CT44" i="9"/>
  <c r="CS44" i="9"/>
  <c r="CQ44" i="9" s="1"/>
  <c r="CO44" i="9"/>
  <c r="CN44" i="9"/>
  <c r="CJ44" i="9"/>
  <c r="CI44" i="9"/>
  <c r="CE44" i="9"/>
  <c r="CD44" i="9"/>
  <c r="CB44" i="9"/>
  <c r="BZ44" i="9"/>
  <c r="BW44" i="9" s="1"/>
  <c r="BY44" i="9"/>
  <c r="BU44" i="9"/>
  <c r="BT44" i="9"/>
  <c r="BP44" i="9"/>
  <c r="BO44" i="9"/>
  <c r="BM44" i="9" s="1"/>
  <c r="BK44" i="9"/>
  <c r="BJ44" i="9"/>
  <c r="BF44" i="9"/>
  <c r="BE44" i="9"/>
  <c r="BA44" i="9"/>
  <c r="AZ44" i="9"/>
  <c r="AX44" i="9" s="1"/>
  <c r="AV44" i="9"/>
  <c r="AU44" i="9"/>
  <c r="AQ44" i="9"/>
  <c r="AP44" i="9"/>
  <c r="AN44" i="9" s="1"/>
  <c r="AL44" i="9"/>
  <c r="AK44" i="9"/>
  <c r="AI44" i="9" s="1"/>
  <c r="AG44" i="9"/>
  <c r="AF44" i="9"/>
  <c r="DS43" i="9"/>
  <c r="DR43" i="9"/>
  <c r="DN43" i="9"/>
  <c r="DM43" i="9"/>
  <c r="DI43" i="9"/>
  <c r="DH43" i="9"/>
  <c r="DD43" i="9"/>
  <c r="DC43" i="9"/>
  <c r="CY43" i="9"/>
  <c r="CX43" i="9"/>
  <c r="CT43" i="9"/>
  <c r="CS43" i="9"/>
  <c r="CO43" i="9"/>
  <c r="CN43" i="9"/>
  <c r="CJ43" i="9"/>
  <c r="CI43" i="9"/>
  <c r="CE43" i="9"/>
  <c r="CD43" i="9"/>
  <c r="BZ43" i="9"/>
  <c r="BY43" i="9"/>
  <c r="BW43" i="9" s="1"/>
  <c r="BU43" i="9"/>
  <c r="BT43" i="9"/>
  <c r="BP43" i="9"/>
  <c r="BO43" i="9"/>
  <c r="BK43" i="9"/>
  <c r="BJ43" i="9"/>
  <c r="BH43" i="9" s="1"/>
  <c r="BF43" i="9"/>
  <c r="BE43" i="9"/>
  <c r="BC43" i="9" s="1"/>
  <c r="BA43" i="9"/>
  <c r="AZ43" i="9"/>
  <c r="AV43" i="9"/>
  <c r="AU43" i="9"/>
  <c r="AQ43" i="9"/>
  <c r="AP43" i="9"/>
  <c r="AL43" i="9"/>
  <c r="AK43" i="9"/>
  <c r="AI43" i="9" s="1"/>
  <c r="AG43" i="9"/>
  <c r="AF43" i="9"/>
  <c r="DS42" i="9"/>
  <c r="DR42" i="9"/>
  <c r="DN42" i="9"/>
  <c r="DM42" i="9"/>
  <c r="DI42" i="9"/>
  <c r="DH42" i="9"/>
  <c r="DD42" i="9"/>
  <c r="DC42" i="9"/>
  <c r="CY42" i="9"/>
  <c r="CX42" i="9"/>
  <c r="CT42" i="9"/>
  <c r="CS42" i="9"/>
  <c r="CO42" i="9"/>
  <c r="CN42" i="9"/>
  <c r="CJ42" i="9"/>
  <c r="CI42" i="9"/>
  <c r="CG42" i="9" s="1"/>
  <c r="CE42" i="9"/>
  <c r="CD42" i="9"/>
  <c r="BZ42" i="9"/>
  <c r="BY42" i="9"/>
  <c r="BW42" i="9" s="1"/>
  <c r="BU42" i="9"/>
  <c r="BT42" i="9"/>
  <c r="BP42" i="9"/>
  <c r="BO42" i="9"/>
  <c r="BK42" i="9"/>
  <c r="BJ42" i="9"/>
  <c r="BF42" i="9"/>
  <c r="BE42" i="9"/>
  <c r="BA42" i="9"/>
  <c r="AZ42" i="9"/>
  <c r="AV42" i="9"/>
  <c r="AU42" i="9"/>
  <c r="AQ42" i="9"/>
  <c r="AP42" i="9"/>
  <c r="AL42" i="9"/>
  <c r="AK42" i="9"/>
  <c r="AG42" i="9"/>
  <c r="AF42" i="9"/>
  <c r="DS41" i="9"/>
  <c r="DR41" i="9"/>
  <c r="DN41" i="9"/>
  <c r="DM41" i="9"/>
  <c r="DI41" i="9"/>
  <c r="DH41" i="9"/>
  <c r="DD41" i="9"/>
  <c r="DC41" i="9"/>
  <c r="CY41" i="9"/>
  <c r="CX41" i="9"/>
  <c r="CT41" i="9"/>
  <c r="CS41" i="9"/>
  <c r="CQ41" i="9" s="1"/>
  <c r="CO41" i="9"/>
  <c r="CN41" i="9"/>
  <c r="CJ41" i="9"/>
  <c r="CI41" i="9"/>
  <c r="CE41" i="9"/>
  <c r="CD41" i="9"/>
  <c r="BZ41" i="9"/>
  <c r="BY41" i="9"/>
  <c r="BW41" i="9" s="1"/>
  <c r="BU41" i="9"/>
  <c r="BT41" i="9"/>
  <c r="BP41" i="9"/>
  <c r="BO41" i="9"/>
  <c r="BK41" i="9"/>
  <c r="BJ41" i="9"/>
  <c r="BF41" i="9"/>
  <c r="BE41" i="9"/>
  <c r="BC41" i="9" s="1"/>
  <c r="BA41" i="9"/>
  <c r="AZ41" i="9"/>
  <c r="AV41" i="9"/>
  <c r="AU41" i="9"/>
  <c r="AQ41" i="9"/>
  <c r="AP41" i="9"/>
  <c r="AL41" i="9"/>
  <c r="AK41" i="9"/>
  <c r="AI41" i="9" s="1"/>
  <c r="AG41" i="9"/>
  <c r="AF41" i="9"/>
  <c r="DS40" i="9"/>
  <c r="DR40" i="9"/>
  <c r="DN40" i="9"/>
  <c r="DM40" i="9"/>
  <c r="DK40" i="9" s="1"/>
  <c r="DI40" i="9"/>
  <c r="DH40" i="9"/>
  <c r="DD40" i="9"/>
  <c r="DC40" i="9"/>
  <c r="CY40" i="9"/>
  <c r="CX40" i="9"/>
  <c r="CT40" i="9"/>
  <c r="CS40" i="9"/>
  <c r="CO40" i="9"/>
  <c r="CN40" i="9"/>
  <c r="CJ40" i="9"/>
  <c r="CI40" i="9"/>
  <c r="CE40" i="9"/>
  <c r="CD40" i="9"/>
  <c r="BZ40" i="9"/>
  <c r="BY40" i="9"/>
  <c r="BU40" i="9"/>
  <c r="BT40" i="9"/>
  <c r="BP40" i="9"/>
  <c r="BO40" i="9"/>
  <c r="BK40" i="9"/>
  <c r="BJ40" i="9"/>
  <c r="BF40" i="9"/>
  <c r="BE40" i="9"/>
  <c r="BA40" i="9"/>
  <c r="AZ40" i="9"/>
  <c r="AV40" i="9"/>
  <c r="AU40" i="9"/>
  <c r="AQ40" i="9"/>
  <c r="AP40" i="9"/>
  <c r="AL40" i="9"/>
  <c r="AK40" i="9"/>
  <c r="AG40" i="9"/>
  <c r="AF40" i="9"/>
  <c r="DS39" i="9"/>
  <c r="DR39" i="9"/>
  <c r="DN39" i="9"/>
  <c r="DM39" i="9"/>
  <c r="DI39" i="9"/>
  <c r="DH39" i="9"/>
  <c r="DD39" i="9"/>
  <c r="DC39" i="9"/>
  <c r="CY39" i="9"/>
  <c r="CX39" i="9"/>
  <c r="CT39" i="9"/>
  <c r="CS39" i="9"/>
  <c r="CO39" i="9"/>
  <c r="CN39" i="9"/>
  <c r="CJ39" i="9"/>
  <c r="CI39" i="9"/>
  <c r="CE39" i="9"/>
  <c r="CD39" i="9"/>
  <c r="BZ39" i="9"/>
  <c r="BY39" i="9"/>
  <c r="BW39" i="9"/>
  <c r="BU39" i="9"/>
  <c r="BT39" i="9"/>
  <c r="BP39" i="9"/>
  <c r="BO39" i="9"/>
  <c r="BK39" i="9"/>
  <c r="BJ39" i="9"/>
  <c r="BF39" i="9"/>
  <c r="BE39" i="9"/>
  <c r="BC39" i="9" s="1"/>
  <c r="BA39" i="9"/>
  <c r="AZ39" i="9"/>
  <c r="AV39" i="9"/>
  <c r="AU39" i="9"/>
  <c r="AQ39" i="9"/>
  <c r="AP39" i="9"/>
  <c r="AL39" i="9"/>
  <c r="AK39" i="9"/>
  <c r="AG39" i="9"/>
  <c r="AF39" i="9"/>
  <c r="AD39" i="9" s="1"/>
  <c r="AB45" i="9"/>
  <c r="AB46" i="9"/>
  <c r="AB47" i="9"/>
  <c r="AB48" i="9"/>
  <c r="AB49" i="9"/>
  <c r="AB50" i="9"/>
  <c r="Y50" i="9" s="1"/>
  <c r="AB51" i="9"/>
  <c r="AB52" i="9"/>
  <c r="AB53" i="9"/>
  <c r="AB54" i="9"/>
  <c r="AB55" i="9"/>
  <c r="AB56" i="9"/>
  <c r="AB57" i="9"/>
  <c r="AB58" i="9"/>
  <c r="AB59" i="9"/>
  <c r="AB60" i="9"/>
  <c r="AB61" i="9"/>
  <c r="AB62" i="9"/>
  <c r="Y62" i="9" s="1"/>
  <c r="AB63" i="9"/>
  <c r="AB64" i="9"/>
  <c r="AB65" i="9"/>
  <c r="AB66" i="9"/>
  <c r="Y66" i="9" s="1"/>
  <c r="AA45" i="9"/>
  <c r="AA46" i="9"/>
  <c r="AA47" i="9"/>
  <c r="AA48" i="9"/>
  <c r="AA49" i="9"/>
  <c r="AA50" i="9"/>
  <c r="AA51" i="9"/>
  <c r="Y51" i="9" s="1"/>
  <c r="AA52" i="9"/>
  <c r="AA53" i="9"/>
  <c r="AA54" i="9"/>
  <c r="AA55" i="9"/>
  <c r="AA56" i="9"/>
  <c r="AA57" i="9"/>
  <c r="AA58" i="9"/>
  <c r="AA59" i="9"/>
  <c r="Y59" i="9" s="1"/>
  <c r="AA60" i="9"/>
  <c r="AA61" i="9"/>
  <c r="AA62" i="9"/>
  <c r="AA63" i="9"/>
  <c r="AA64" i="9"/>
  <c r="AA65" i="9"/>
  <c r="AA66" i="9"/>
  <c r="AB44" i="9"/>
  <c r="AA44" i="9"/>
  <c r="AA42" i="9"/>
  <c r="Y42" i="9" s="1"/>
  <c r="Y46" i="9"/>
  <c r="AB43" i="9"/>
  <c r="Y43" i="9" s="1"/>
  <c r="AA43" i="9"/>
  <c r="AB42" i="9"/>
  <c r="AB41" i="9"/>
  <c r="AA41" i="9"/>
  <c r="Y41" i="9"/>
  <c r="AB40" i="9"/>
  <c r="AA40" i="9"/>
  <c r="Y40" i="9" s="1"/>
  <c r="AB39" i="9"/>
  <c r="AA39" i="9"/>
  <c r="B66" i="9"/>
  <c r="B65" i="9"/>
  <c r="B64" i="9"/>
  <c r="B58" i="9"/>
  <c r="B59" i="9"/>
  <c r="B60" i="9"/>
  <c r="B61" i="9"/>
  <c r="B62" i="9"/>
  <c r="B63" i="9"/>
  <c r="B45" i="9"/>
  <c r="B46" i="9"/>
  <c r="B47" i="9"/>
  <c r="B48" i="9"/>
  <c r="B49" i="9"/>
  <c r="B50" i="9"/>
  <c r="B51" i="9"/>
  <c r="B52" i="9"/>
  <c r="B53" i="9"/>
  <c r="B54" i="9"/>
  <c r="B55" i="9"/>
  <c r="B56" i="9"/>
  <c r="B57" i="9"/>
  <c r="B44" i="9"/>
  <c r="B43" i="9"/>
  <c r="B41" i="9"/>
  <c r="B42" i="9"/>
  <c r="B40" i="9"/>
  <c r="B39" i="9"/>
  <c r="BW75" i="3"/>
  <c r="BW74" i="3"/>
  <c r="BW73" i="3"/>
  <c r="BW72" i="3"/>
  <c r="BW71" i="3"/>
  <c r="BW70" i="3"/>
  <c r="BW69" i="3"/>
  <c r="BW68" i="3"/>
  <c r="BW67" i="3"/>
  <c r="BW66" i="3"/>
  <c r="BW65" i="3"/>
  <c r="BW64" i="3"/>
  <c r="BW63" i="3"/>
  <c r="BW62" i="3"/>
  <c r="BW61" i="3"/>
  <c r="BW60" i="3"/>
  <c r="BW59" i="3"/>
  <c r="BW58" i="3"/>
  <c r="BW57" i="3"/>
  <c r="BW56" i="3"/>
  <c r="BW55" i="3"/>
  <c r="BW54" i="3"/>
  <c r="BW53" i="3"/>
  <c r="BW52" i="3"/>
  <c r="BW51" i="3"/>
  <c r="BW50" i="3"/>
  <c r="BW49" i="3"/>
  <c r="BW48" i="3"/>
  <c r="BW47" i="3"/>
  <c r="BW46" i="3"/>
  <c r="BW45" i="3"/>
  <c r="BW44" i="3"/>
  <c r="BT75" i="3"/>
  <c r="BT74" i="3"/>
  <c r="BT73" i="3"/>
  <c r="BT72" i="3"/>
  <c r="BT71" i="3"/>
  <c r="BT70" i="3"/>
  <c r="BT69" i="3"/>
  <c r="BT68" i="3"/>
  <c r="BT67" i="3"/>
  <c r="BT66" i="3"/>
  <c r="BT65" i="3"/>
  <c r="BT64" i="3"/>
  <c r="BT63" i="3"/>
  <c r="BT62" i="3"/>
  <c r="BT61" i="3"/>
  <c r="BT60" i="3"/>
  <c r="BT59" i="3"/>
  <c r="BT58" i="3"/>
  <c r="BT57" i="3"/>
  <c r="BT56" i="3"/>
  <c r="BT55" i="3"/>
  <c r="BT54" i="3"/>
  <c r="BT53" i="3"/>
  <c r="BT52" i="3"/>
  <c r="BT51" i="3"/>
  <c r="BT50" i="3"/>
  <c r="BT49" i="3"/>
  <c r="BT48" i="3"/>
  <c r="BT47" i="3"/>
  <c r="BT46" i="3"/>
  <c r="BT45" i="3"/>
  <c r="BT44" i="3"/>
  <c r="BQ75" i="3"/>
  <c r="BQ74" i="3"/>
  <c r="BQ73" i="3"/>
  <c r="BQ72" i="3"/>
  <c r="BQ71" i="3"/>
  <c r="BQ70" i="3"/>
  <c r="BQ69" i="3"/>
  <c r="BQ68" i="3"/>
  <c r="BQ67" i="3"/>
  <c r="BQ66" i="3"/>
  <c r="BQ65" i="3"/>
  <c r="BQ64" i="3"/>
  <c r="BQ63" i="3"/>
  <c r="BQ62" i="3"/>
  <c r="BQ61" i="3"/>
  <c r="BQ60" i="3"/>
  <c r="BQ59" i="3"/>
  <c r="BQ58" i="3"/>
  <c r="BQ57" i="3"/>
  <c r="BQ56" i="3"/>
  <c r="BQ55" i="3"/>
  <c r="BQ54" i="3"/>
  <c r="BQ53" i="3"/>
  <c r="BQ52" i="3"/>
  <c r="BQ51" i="3"/>
  <c r="BQ50" i="3"/>
  <c r="BQ49" i="3"/>
  <c r="BQ48" i="3"/>
  <c r="BQ47" i="3"/>
  <c r="BQ46" i="3"/>
  <c r="BQ45" i="3"/>
  <c r="BQ44" i="3"/>
  <c r="BN75" i="3"/>
  <c r="BN74" i="3"/>
  <c r="BN73" i="3"/>
  <c r="BN72" i="3"/>
  <c r="BN71" i="3"/>
  <c r="BN70" i="3"/>
  <c r="BN69" i="3"/>
  <c r="BN68" i="3"/>
  <c r="BN67" i="3"/>
  <c r="BN66" i="3"/>
  <c r="BN65" i="3"/>
  <c r="BN64" i="3"/>
  <c r="BN63" i="3"/>
  <c r="BN62" i="3"/>
  <c r="BN61" i="3"/>
  <c r="BN60" i="3"/>
  <c r="BN59" i="3"/>
  <c r="BN58" i="3"/>
  <c r="BN57" i="3"/>
  <c r="BN56" i="3"/>
  <c r="BN55" i="3"/>
  <c r="BN54" i="3"/>
  <c r="BN53" i="3"/>
  <c r="BN52" i="3"/>
  <c r="BN51" i="3"/>
  <c r="BN50" i="3"/>
  <c r="BN49" i="3"/>
  <c r="BN48" i="3"/>
  <c r="BN47" i="3"/>
  <c r="BN46" i="3"/>
  <c r="BN45" i="3"/>
  <c r="BN44" i="3"/>
  <c r="BK75" i="3"/>
  <c r="BK74" i="3"/>
  <c r="BK73" i="3"/>
  <c r="BK72" i="3"/>
  <c r="BK71" i="3"/>
  <c r="BK70" i="3"/>
  <c r="BK69" i="3"/>
  <c r="BK68" i="3"/>
  <c r="BK67" i="3"/>
  <c r="BK66" i="3"/>
  <c r="BK65" i="3"/>
  <c r="BK64" i="3"/>
  <c r="BK63" i="3"/>
  <c r="BK62" i="3"/>
  <c r="BK61" i="3"/>
  <c r="BK60" i="3"/>
  <c r="BK59" i="3"/>
  <c r="BK58" i="3"/>
  <c r="BK57" i="3"/>
  <c r="BK56" i="3"/>
  <c r="BK55" i="3"/>
  <c r="BK54" i="3"/>
  <c r="BK53" i="3"/>
  <c r="BK52" i="3"/>
  <c r="BK51" i="3"/>
  <c r="BK50" i="3"/>
  <c r="BK49" i="3"/>
  <c r="BK48" i="3"/>
  <c r="BK47" i="3"/>
  <c r="BK46" i="3"/>
  <c r="BK45" i="3"/>
  <c r="BK44" i="3"/>
  <c r="BH75" i="3"/>
  <c r="BH74" i="3"/>
  <c r="BH73" i="3"/>
  <c r="BH72" i="3"/>
  <c r="BH71" i="3"/>
  <c r="BH70" i="3"/>
  <c r="BH69" i="3"/>
  <c r="BH68" i="3"/>
  <c r="BH67" i="3"/>
  <c r="BH66" i="3"/>
  <c r="BH65" i="3"/>
  <c r="BH64" i="3"/>
  <c r="BH63" i="3"/>
  <c r="BH62" i="3"/>
  <c r="BH61" i="3"/>
  <c r="BH60" i="3"/>
  <c r="BH59" i="3"/>
  <c r="BH58" i="3"/>
  <c r="BH57" i="3"/>
  <c r="BH56" i="3"/>
  <c r="BH55" i="3"/>
  <c r="BH54" i="3"/>
  <c r="BH53" i="3"/>
  <c r="BH52" i="3"/>
  <c r="BH51" i="3"/>
  <c r="BH50" i="3"/>
  <c r="BH49" i="3"/>
  <c r="BH48" i="3"/>
  <c r="BH47" i="3"/>
  <c r="BH46" i="3"/>
  <c r="BH45" i="3"/>
  <c r="BH44" i="3"/>
  <c r="BE75" i="3"/>
  <c r="BE74" i="3"/>
  <c r="BE73" i="3"/>
  <c r="BE72" i="3"/>
  <c r="BE71" i="3"/>
  <c r="BE70" i="3"/>
  <c r="BE69" i="3"/>
  <c r="BE68" i="3"/>
  <c r="BE67" i="3"/>
  <c r="BE66" i="3"/>
  <c r="BE65" i="3"/>
  <c r="BE64" i="3"/>
  <c r="BE63" i="3"/>
  <c r="BE62" i="3"/>
  <c r="BE61" i="3"/>
  <c r="BE60" i="3"/>
  <c r="BE59" i="3"/>
  <c r="BE58" i="3"/>
  <c r="BE57" i="3"/>
  <c r="BE56" i="3"/>
  <c r="BE55" i="3"/>
  <c r="BE54" i="3"/>
  <c r="BE53" i="3"/>
  <c r="BE52" i="3"/>
  <c r="BE51" i="3"/>
  <c r="BE50" i="3"/>
  <c r="BE49" i="3"/>
  <c r="BE48" i="3"/>
  <c r="BE47" i="3"/>
  <c r="BE46" i="3"/>
  <c r="BE45" i="3"/>
  <c r="BE44" i="3"/>
  <c r="BB75" i="3"/>
  <c r="BB74" i="3"/>
  <c r="BB73" i="3"/>
  <c r="BB72" i="3"/>
  <c r="BB71" i="3"/>
  <c r="BB70" i="3"/>
  <c r="BB69" i="3"/>
  <c r="BB68" i="3"/>
  <c r="BB67" i="3"/>
  <c r="BB66" i="3"/>
  <c r="BB65" i="3"/>
  <c r="BB64" i="3"/>
  <c r="BB63" i="3"/>
  <c r="BB62" i="3"/>
  <c r="BB61" i="3"/>
  <c r="BB60" i="3"/>
  <c r="BB59" i="3"/>
  <c r="BB58" i="3"/>
  <c r="BB57" i="3"/>
  <c r="BB56" i="3"/>
  <c r="BB55" i="3"/>
  <c r="BB54" i="3"/>
  <c r="BB53" i="3"/>
  <c r="BB52" i="3"/>
  <c r="BB51" i="3"/>
  <c r="BB50" i="3"/>
  <c r="BB49" i="3"/>
  <c r="BB48" i="3"/>
  <c r="BB47" i="3"/>
  <c r="BB46" i="3"/>
  <c r="BB45" i="3"/>
  <c r="BB44" i="3"/>
  <c r="AY75" i="3"/>
  <c r="AY74" i="3"/>
  <c r="AY73" i="3"/>
  <c r="AY72" i="3"/>
  <c r="AY71" i="3"/>
  <c r="AY70" i="3"/>
  <c r="AY69" i="3"/>
  <c r="AY68" i="3"/>
  <c r="AY67" i="3"/>
  <c r="AY66" i="3"/>
  <c r="AY65" i="3"/>
  <c r="AY64" i="3"/>
  <c r="AY63" i="3"/>
  <c r="AY62" i="3"/>
  <c r="AY61" i="3"/>
  <c r="AY60" i="3"/>
  <c r="AY59" i="3"/>
  <c r="AY58" i="3"/>
  <c r="AY57" i="3"/>
  <c r="AY56" i="3"/>
  <c r="AY55" i="3"/>
  <c r="AY54" i="3"/>
  <c r="AY53" i="3"/>
  <c r="AY52" i="3"/>
  <c r="AY51" i="3"/>
  <c r="AY50" i="3"/>
  <c r="AY49" i="3"/>
  <c r="AY48" i="3"/>
  <c r="AY47" i="3"/>
  <c r="AY46" i="3"/>
  <c r="AY45" i="3"/>
  <c r="AY44" i="3"/>
  <c r="AV75" i="3"/>
  <c r="AV74" i="3"/>
  <c r="AV73" i="3"/>
  <c r="AV72" i="3"/>
  <c r="AV71" i="3"/>
  <c r="AV70" i="3"/>
  <c r="AV69" i="3"/>
  <c r="AV68" i="3"/>
  <c r="AV67" i="3"/>
  <c r="AV66" i="3"/>
  <c r="AV65" i="3"/>
  <c r="AV64" i="3"/>
  <c r="AV63" i="3"/>
  <c r="AV62" i="3"/>
  <c r="AV61" i="3"/>
  <c r="AV60" i="3"/>
  <c r="AV59" i="3"/>
  <c r="AV58" i="3"/>
  <c r="AV57" i="3"/>
  <c r="AV56" i="3"/>
  <c r="AV55" i="3"/>
  <c r="AV54" i="3"/>
  <c r="AV53" i="3"/>
  <c r="AV52" i="3"/>
  <c r="AV51" i="3"/>
  <c r="AV50" i="3"/>
  <c r="AV49" i="3"/>
  <c r="AV48" i="3"/>
  <c r="AV47" i="3"/>
  <c r="AV46" i="3"/>
  <c r="AV45" i="3"/>
  <c r="AV44" i="3"/>
  <c r="AS75" i="3"/>
  <c r="AS74" i="3"/>
  <c r="AS73" i="3"/>
  <c r="AS72" i="3"/>
  <c r="AS71" i="3"/>
  <c r="AS70" i="3"/>
  <c r="AS69" i="3"/>
  <c r="AS68" i="3"/>
  <c r="AS67" i="3"/>
  <c r="AS66" i="3"/>
  <c r="AS65" i="3"/>
  <c r="AS64" i="3"/>
  <c r="AS63" i="3"/>
  <c r="AS62" i="3"/>
  <c r="AS61" i="3"/>
  <c r="AS60" i="3"/>
  <c r="AS59" i="3"/>
  <c r="AS58" i="3"/>
  <c r="AS57" i="3"/>
  <c r="AS56" i="3"/>
  <c r="AS55" i="3"/>
  <c r="AS54" i="3"/>
  <c r="AS53" i="3"/>
  <c r="AS52" i="3"/>
  <c r="AS51" i="3"/>
  <c r="AS50" i="3"/>
  <c r="AS49" i="3"/>
  <c r="AS48" i="3"/>
  <c r="AS47" i="3"/>
  <c r="AS46" i="3"/>
  <c r="AS45" i="3"/>
  <c r="AS44" i="3"/>
  <c r="AP75" i="3"/>
  <c r="AP74" i="3"/>
  <c r="AP73" i="3"/>
  <c r="AP72" i="3"/>
  <c r="AP71" i="3"/>
  <c r="AP70" i="3"/>
  <c r="AP69" i="3"/>
  <c r="AP68" i="3"/>
  <c r="AP67" i="3"/>
  <c r="AP66" i="3"/>
  <c r="AP65" i="3"/>
  <c r="AP64" i="3"/>
  <c r="AP63" i="3"/>
  <c r="AP62" i="3"/>
  <c r="AP61" i="3"/>
  <c r="AP60" i="3"/>
  <c r="AP59" i="3"/>
  <c r="AP58" i="3"/>
  <c r="AP57" i="3"/>
  <c r="AP56" i="3"/>
  <c r="AP55" i="3"/>
  <c r="AP54" i="3"/>
  <c r="AP53" i="3"/>
  <c r="AP52" i="3"/>
  <c r="AP51" i="3"/>
  <c r="AP50" i="3"/>
  <c r="AP49" i="3"/>
  <c r="AP48" i="3"/>
  <c r="AP47" i="3"/>
  <c r="AP46" i="3"/>
  <c r="AP45" i="3"/>
  <c r="AP44" i="3"/>
  <c r="AM75" i="3"/>
  <c r="AM74" i="3"/>
  <c r="AM73" i="3"/>
  <c r="AM72" i="3"/>
  <c r="AM71" i="3"/>
  <c r="AM70" i="3"/>
  <c r="AM69" i="3"/>
  <c r="AM68" i="3"/>
  <c r="AM67" i="3"/>
  <c r="AM66" i="3"/>
  <c r="AM65" i="3"/>
  <c r="AM64" i="3"/>
  <c r="AM63" i="3"/>
  <c r="AM62" i="3"/>
  <c r="AM61" i="3"/>
  <c r="AM60" i="3"/>
  <c r="AM59" i="3"/>
  <c r="AM58" i="3"/>
  <c r="AM57" i="3"/>
  <c r="AM56" i="3"/>
  <c r="AM55" i="3"/>
  <c r="AM54" i="3"/>
  <c r="AM53" i="3"/>
  <c r="AM52" i="3"/>
  <c r="AM51" i="3"/>
  <c r="AM50" i="3"/>
  <c r="AM49" i="3"/>
  <c r="AM48" i="3"/>
  <c r="AM47" i="3"/>
  <c r="AM46" i="3"/>
  <c r="AM45" i="3"/>
  <c r="AM44" i="3"/>
  <c r="AJ75" i="3"/>
  <c r="AJ74" i="3"/>
  <c r="AJ73" i="3"/>
  <c r="AJ72" i="3"/>
  <c r="AJ71" i="3"/>
  <c r="AJ70" i="3"/>
  <c r="AJ69" i="3"/>
  <c r="AJ68" i="3"/>
  <c r="AJ67" i="3"/>
  <c r="AJ66" i="3"/>
  <c r="AJ65" i="3"/>
  <c r="AJ64" i="3"/>
  <c r="AJ63" i="3"/>
  <c r="AJ62" i="3"/>
  <c r="AJ61" i="3"/>
  <c r="AJ60" i="3"/>
  <c r="AJ59" i="3"/>
  <c r="AJ58" i="3"/>
  <c r="AJ57" i="3"/>
  <c r="AJ56" i="3"/>
  <c r="AJ55" i="3"/>
  <c r="AJ54" i="3"/>
  <c r="AJ53" i="3"/>
  <c r="AJ52" i="3"/>
  <c r="AJ51" i="3"/>
  <c r="AJ50" i="3"/>
  <c r="AJ49" i="3"/>
  <c r="AJ48" i="3"/>
  <c r="AJ47" i="3"/>
  <c r="AJ46" i="3"/>
  <c r="AJ45" i="3"/>
  <c r="AJ44" i="3"/>
  <c r="AG75" i="3"/>
  <c r="AG74" i="3"/>
  <c r="AG73" i="3"/>
  <c r="AG72" i="3"/>
  <c r="AG71" i="3"/>
  <c r="AG70" i="3"/>
  <c r="AG69" i="3"/>
  <c r="AG68" i="3"/>
  <c r="AG67" i="3"/>
  <c r="AG66" i="3"/>
  <c r="AG65" i="3"/>
  <c r="AG64" i="3"/>
  <c r="AG63" i="3"/>
  <c r="AG62" i="3"/>
  <c r="AG61" i="3"/>
  <c r="AG60" i="3"/>
  <c r="AG59" i="3"/>
  <c r="AG58" i="3"/>
  <c r="AG57" i="3"/>
  <c r="AG56" i="3"/>
  <c r="AG55" i="3"/>
  <c r="AG54" i="3"/>
  <c r="AG53" i="3"/>
  <c r="AG52" i="3"/>
  <c r="AG51" i="3"/>
  <c r="AG50" i="3"/>
  <c r="AG49" i="3"/>
  <c r="AG48" i="3"/>
  <c r="AG47" i="3"/>
  <c r="AG46" i="3"/>
  <c r="AG45" i="3"/>
  <c r="AG44" i="3"/>
  <c r="AD75" i="3"/>
  <c r="AD74" i="3"/>
  <c r="AD73" i="3"/>
  <c r="AD72" i="3"/>
  <c r="AD71" i="3"/>
  <c r="AD70" i="3"/>
  <c r="AD69" i="3"/>
  <c r="AD68" i="3"/>
  <c r="AD67" i="3"/>
  <c r="AD66" i="3"/>
  <c r="AD65" i="3"/>
  <c r="AD64" i="3"/>
  <c r="AD63" i="3"/>
  <c r="AD62" i="3"/>
  <c r="AD61" i="3"/>
  <c r="AD60" i="3"/>
  <c r="AD59" i="3"/>
  <c r="AD58" i="3"/>
  <c r="AD57" i="3"/>
  <c r="AD56" i="3"/>
  <c r="AD55" i="3"/>
  <c r="AD54" i="3"/>
  <c r="AD53" i="3"/>
  <c r="AD52" i="3"/>
  <c r="AD51" i="3"/>
  <c r="AD50" i="3"/>
  <c r="AD49" i="3"/>
  <c r="AD48" i="3"/>
  <c r="AD47" i="3"/>
  <c r="AD46" i="3"/>
  <c r="AD45" i="3"/>
  <c r="AD44" i="3"/>
  <c r="AA75" i="3"/>
  <c r="AA74" i="3"/>
  <c r="AA73" i="3"/>
  <c r="AA72" i="3"/>
  <c r="AA71" i="3"/>
  <c r="AA70" i="3"/>
  <c r="AA69" i="3"/>
  <c r="AA68" i="3"/>
  <c r="AA67" i="3"/>
  <c r="AA66" i="3"/>
  <c r="AA65" i="3"/>
  <c r="AA64" i="3"/>
  <c r="AA63" i="3"/>
  <c r="AA62" i="3"/>
  <c r="AA61" i="3"/>
  <c r="AA60" i="3"/>
  <c r="AA59" i="3"/>
  <c r="AA58" i="3"/>
  <c r="AA57" i="3"/>
  <c r="AA56" i="3"/>
  <c r="AA55" i="3"/>
  <c r="AA54" i="3"/>
  <c r="AA53" i="3"/>
  <c r="AA52" i="3"/>
  <c r="AA51" i="3"/>
  <c r="AA50" i="3"/>
  <c r="AA49" i="3"/>
  <c r="AA48" i="3"/>
  <c r="AA47" i="3"/>
  <c r="AA46" i="3"/>
  <c r="AA45" i="3"/>
  <c r="AA44" i="3"/>
  <c r="X75" i="3"/>
  <c r="X74" i="3"/>
  <c r="X73" i="3"/>
  <c r="X72" i="3"/>
  <c r="X71" i="3"/>
  <c r="X70" i="3"/>
  <c r="X69" i="3"/>
  <c r="X68" i="3"/>
  <c r="X67" i="3"/>
  <c r="X66" i="3"/>
  <c r="X65" i="3"/>
  <c r="X64" i="3"/>
  <c r="X63" i="3"/>
  <c r="X62" i="3"/>
  <c r="X61" i="3"/>
  <c r="X60" i="3"/>
  <c r="X59" i="3"/>
  <c r="X58" i="3"/>
  <c r="X57" i="3"/>
  <c r="X56" i="3"/>
  <c r="X55" i="3"/>
  <c r="X54" i="3"/>
  <c r="X53" i="3"/>
  <c r="X52" i="3"/>
  <c r="X51" i="3"/>
  <c r="X50" i="3"/>
  <c r="X49" i="3"/>
  <c r="X48" i="3"/>
  <c r="X47" i="3"/>
  <c r="X46" i="3"/>
  <c r="X45" i="3"/>
  <c r="X44" i="3"/>
  <c r="U75" i="3"/>
  <c r="U74" i="3"/>
  <c r="U73" i="3"/>
  <c r="U72" i="3"/>
  <c r="U71" i="3"/>
  <c r="U70" i="3"/>
  <c r="U69" i="3"/>
  <c r="U68" i="3"/>
  <c r="U67" i="3"/>
  <c r="U66" i="3"/>
  <c r="U65" i="3"/>
  <c r="U64" i="3"/>
  <c r="U63" i="3"/>
  <c r="U62" i="3"/>
  <c r="U61" i="3"/>
  <c r="U60" i="3"/>
  <c r="U59" i="3"/>
  <c r="U58" i="3"/>
  <c r="U57" i="3"/>
  <c r="U56" i="3"/>
  <c r="U55" i="3"/>
  <c r="U54" i="3"/>
  <c r="U53" i="3"/>
  <c r="U52" i="3"/>
  <c r="U51" i="3"/>
  <c r="U50" i="3"/>
  <c r="U49" i="3"/>
  <c r="U48" i="3"/>
  <c r="U47" i="3"/>
  <c r="U46" i="3"/>
  <c r="U45" i="3"/>
  <c r="U44" i="3"/>
  <c r="R48" i="3"/>
  <c r="R49" i="3"/>
  <c r="R50" i="3"/>
  <c r="R51" i="3"/>
  <c r="R52" i="3"/>
  <c r="R53" i="3"/>
  <c r="R54" i="3"/>
  <c r="R55" i="3"/>
  <c r="R56" i="3"/>
  <c r="R57" i="3"/>
  <c r="R58" i="3"/>
  <c r="R59" i="3"/>
  <c r="R60" i="3"/>
  <c r="R61" i="3"/>
  <c r="R62" i="3"/>
  <c r="R63" i="3"/>
  <c r="R64" i="3"/>
  <c r="R65" i="3"/>
  <c r="R66" i="3"/>
  <c r="R67" i="3"/>
  <c r="R68" i="3"/>
  <c r="R69" i="3"/>
  <c r="R70" i="3"/>
  <c r="R71" i="3"/>
  <c r="R72" i="3"/>
  <c r="R73" i="3"/>
  <c r="R74" i="3"/>
  <c r="R75" i="3"/>
  <c r="R47" i="3"/>
  <c r="M47" i="3" s="1"/>
  <c r="R45" i="3"/>
  <c r="R46" i="3"/>
  <c r="R44" i="3"/>
  <c r="M75" i="3"/>
  <c r="B48" i="3"/>
  <c r="B49" i="3"/>
  <c r="B50" i="3"/>
  <c r="B51" i="3"/>
  <c r="B52" i="3"/>
  <c r="B53" i="3"/>
  <c r="B54" i="3"/>
  <c r="B55" i="3"/>
  <c r="B56" i="3"/>
  <c r="B57" i="3"/>
  <c r="B58" i="3"/>
  <c r="B59" i="3"/>
  <c r="B60" i="3"/>
  <c r="B61" i="3"/>
  <c r="B62" i="3"/>
  <c r="B63" i="3"/>
  <c r="B64" i="3"/>
  <c r="B65" i="3"/>
  <c r="B66" i="3"/>
  <c r="B67" i="3"/>
  <c r="B68" i="3"/>
  <c r="B69" i="3"/>
  <c r="B70" i="3"/>
  <c r="B71" i="3"/>
  <c r="B72" i="3"/>
  <c r="B73" i="3"/>
  <c r="B74" i="3"/>
  <c r="B75" i="3"/>
  <c r="B47" i="3"/>
  <c r="B45" i="3"/>
  <c r="B46" i="3"/>
  <c r="B44" i="3"/>
  <c r="CQ45" i="9" l="1"/>
  <c r="AX55" i="9"/>
  <c r="AN57" i="9"/>
  <c r="BE23" i="8"/>
  <c r="BH9" i="12" s="1"/>
  <c r="CG24" i="8"/>
  <c r="BO5" i="12" s="1"/>
  <c r="AC25" i="8"/>
  <c r="BI25" i="8"/>
  <c r="BI7" i="12" s="1"/>
  <c r="AK26" i="8"/>
  <c r="BC4" i="12" s="1"/>
  <c r="BQ26" i="8"/>
  <c r="M27" i="8"/>
  <c r="AS27" i="8"/>
  <c r="BY27" i="8"/>
  <c r="U28" i="8"/>
  <c r="BA28" i="8"/>
  <c r="CG28" i="8"/>
  <c r="AK30" i="8"/>
  <c r="BC17" i="12" s="1"/>
  <c r="BQ30" i="8"/>
  <c r="AC34" i="8"/>
  <c r="BI34" i="8"/>
  <c r="AF28" i="12"/>
  <c r="Y63" i="9"/>
  <c r="Y55" i="9"/>
  <c r="Y47" i="9"/>
  <c r="Y61" i="9"/>
  <c r="AA32" i="12" s="1"/>
  <c r="Y53" i="9"/>
  <c r="Y45" i="9"/>
  <c r="CB43" i="9"/>
  <c r="DP43" i="9"/>
  <c r="BM47" i="9"/>
  <c r="BR53" i="9"/>
  <c r="DF54" i="9"/>
  <c r="AI60" i="9"/>
  <c r="AC30" i="12" s="1"/>
  <c r="BW61" i="9"/>
  <c r="AN63" i="9"/>
  <c r="CQ64" i="9"/>
  <c r="DK64" i="9"/>
  <c r="BC66" i="9"/>
  <c r="DA47" i="9"/>
  <c r="DF52" i="9"/>
  <c r="AS62" i="9"/>
  <c r="AE26" i="12" s="1"/>
  <c r="AS63" i="9"/>
  <c r="CV63" i="9"/>
  <c r="BC40" i="9"/>
  <c r="CQ40" i="9"/>
  <c r="CV42" i="9"/>
  <c r="CG43" i="9"/>
  <c r="DA44" i="9"/>
  <c r="CG45" i="9"/>
  <c r="AM10" i="12" s="1"/>
  <c r="DA48" i="9"/>
  <c r="AX50" i="9"/>
  <c r="BW53" i="9"/>
  <c r="CQ53" i="9"/>
  <c r="DK53" i="9"/>
  <c r="BR57" i="9"/>
  <c r="CL57" i="9"/>
  <c r="AI58" i="9"/>
  <c r="AC25" i="12" s="1"/>
  <c r="BC58" i="9"/>
  <c r="BW58" i="9"/>
  <c r="BH60" i="9"/>
  <c r="AN61" i="9"/>
  <c r="CG62" i="9"/>
  <c r="BM63" i="9"/>
  <c r="AS64" i="9"/>
  <c r="CV65" i="9"/>
  <c r="AP34" i="12" s="1"/>
  <c r="BY34" i="8"/>
  <c r="Y57" i="9"/>
  <c r="CL44" i="9"/>
  <c r="AI47" i="9"/>
  <c r="BC47" i="9"/>
  <c r="BR49" i="9"/>
  <c r="DP54" i="9"/>
  <c r="AX64" i="9"/>
  <c r="AF18" i="12" s="1"/>
  <c r="DA65" i="9"/>
  <c r="CG66" i="9"/>
  <c r="BY23" i="8"/>
  <c r="BC44" i="9"/>
  <c r="AI45" i="9"/>
  <c r="DF45" i="9"/>
  <c r="AI46" i="9"/>
  <c r="DK46" i="9"/>
  <c r="AS17" i="12" s="1"/>
  <c r="AN47" i="9"/>
  <c r="BW49" i="9"/>
  <c r="CV51" i="9"/>
  <c r="CV53" i="9"/>
  <c r="DA54" i="9"/>
  <c r="BH58" i="9"/>
  <c r="DP58" i="9"/>
  <c r="AI62" i="9"/>
  <c r="AC26" i="12" s="1"/>
  <c r="DF64" i="9"/>
  <c r="BR66" i="9"/>
  <c r="DA66" i="9"/>
  <c r="M69" i="3"/>
  <c r="M57" i="3"/>
  <c r="M46" i="3"/>
  <c r="Y44" i="9"/>
  <c r="CQ42" i="9"/>
  <c r="AO5" i="12" s="1"/>
  <c r="AD43" i="9"/>
  <c r="AN43" i="9"/>
  <c r="AX43" i="9"/>
  <c r="BH44" i="9"/>
  <c r="CB45" i="9"/>
  <c r="CL45" i="9"/>
  <c r="AN46" i="9"/>
  <c r="AX46" i="9"/>
  <c r="AF17" i="12" s="1"/>
  <c r="BR56" i="9"/>
  <c r="CB56" i="9"/>
  <c r="M65" i="3"/>
  <c r="M53" i="3"/>
  <c r="Y58" i="9"/>
  <c r="Y54" i="9"/>
  <c r="Y64" i="9"/>
  <c r="Y60" i="9"/>
  <c r="AA30" i="12" s="1"/>
  <c r="Y56" i="9"/>
  <c r="Y48" i="9"/>
  <c r="CQ47" i="9"/>
  <c r="CV49" i="9"/>
  <c r="DF49" i="9"/>
  <c r="AD62" i="9"/>
  <c r="DK63" i="9"/>
  <c r="BW65" i="9"/>
  <c r="AK34" i="12" s="1"/>
  <c r="BA23" i="8"/>
  <c r="BG9" i="12" s="1"/>
  <c r="BQ23" i="8"/>
  <c r="BK9" i="12" s="1"/>
  <c r="U24" i="8"/>
  <c r="AY5" i="12" s="1"/>
  <c r="AK24" i="8"/>
  <c r="BC5" i="12" s="1"/>
  <c r="CC24" i="8"/>
  <c r="BN5" i="12" s="1"/>
  <c r="Y25" i="8"/>
  <c r="AO25" i="8"/>
  <c r="BE25" i="8"/>
  <c r="BH7" i="12" s="1"/>
  <c r="BU25" i="8"/>
  <c r="Q26" i="8"/>
  <c r="AG26" i="8"/>
  <c r="M73" i="3"/>
  <c r="M61" i="3"/>
  <c r="AE32" i="12"/>
  <c r="Y65" i="9"/>
  <c r="Y49" i="9"/>
  <c r="AI40" i="9"/>
  <c r="DP41" i="9"/>
  <c r="BC42" i="9"/>
  <c r="BM42" i="9"/>
  <c r="CQ43" i="9"/>
  <c r="AD44" i="9"/>
  <c r="CV44" i="9"/>
  <c r="DF44" i="9"/>
  <c r="AR11" i="12" s="1"/>
  <c r="DP44" i="9"/>
  <c r="AX45" i="9"/>
  <c r="DP45" i="9"/>
  <c r="BM46" i="9"/>
  <c r="CQ46" i="9"/>
  <c r="DA46" i="9"/>
  <c r="AS47" i="9"/>
  <c r="CB47" i="9"/>
  <c r="BC48" i="9"/>
  <c r="BM48" i="9"/>
  <c r="BW48" i="9"/>
  <c r="CG48" i="9"/>
  <c r="DP48" i="9"/>
  <c r="AI49" i="9"/>
  <c r="AS49" i="9"/>
  <c r="BC49" i="9"/>
  <c r="DK49" i="9"/>
  <c r="BH51" i="9"/>
  <c r="CL51" i="9"/>
  <c r="DK51" i="9"/>
  <c r="BC52" i="9"/>
  <c r="BM52" i="9"/>
  <c r="BW52" i="9"/>
  <c r="CG52" i="9"/>
  <c r="AM15" i="12" s="1"/>
  <c r="CQ52" i="9"/>
  <c r="DA52" i="9"/>
  <c r="CL54" i="9"/>
  <c r="DF57" i="9"/>
  <c r="DP57" i="9"/>
  <c r="AD59" i="9"/>
  <c r="AD60" i="9"/>
  <c r="AN60" i="9"/>
  <c r="AD30" i="12" s="1"/>
  <c r="BW60" i="9"/>
  <c r="CG60" i="9"/>
  <c r="CQ60" i="9"/>
  <c r="DA60" i="9"/>
  <c r="DK60" i="9"/>
  <c r="DP62" i="9"/>
  <c r="CB64" i="9"/>
  <c r="AN66" i="9"/>
  <c r="AD9" i="12" s="1"/>
  <c r="AX66" i="9"/>
  <c r="AW26" i="8"/>
  <c r="BM26" i="8"/>
  <c r="CC26" i="8"/>
  <c r="Y27" i="8"/>
  <c r="AO27" i="8"/>
  <c r="BE27" i="8"/>
  <c r="BU27" i="8"/>
  <c r="BL14" i="12" s="1"/>
  <c r="Q28" i="8"/>
  <c r="AX11" i="12" s="1"/>
  <c r="AG28" i="8"/>
  <c r="AW28" i="8"/>
  <c r="Y29" i="8"/>
  <c r="AO29" i="8"/>
  <c r="BE29" i="8"/>
  <c r="BU29" i="8"/>
  <c r="M31" i="8"/>
  <c r="AW19" i="12" s="1"/>
  <c r="AC31" i="8"/>
  <c r="AS31" i="8"/>
  <c r="BI31" i="8"/>
  <c r="BY31" i="8"/>
  <c r="M35" i="8"/>
  <c r="AC35" i="8"/>
  <c r="AS35" i="8"/>
  <c r="BI35" i="8"/>
  <c r="BI6" i="12" s="1"/>
  <c r="BY35" i="8"/>
  <c r="AN49" i="9"/>
  <c r="CQ49" i="9"/>
  <c r="DA49" i="9"/>
  <c r="BC50" i="9"/>
  <c r="BM50" i="9"/>
  <c r="BW50" i="9"/>
  <c r="CV50" i="9"/>
  <c r="AP19" i="12" s="1"/>
  <c r="BW51" i="9"/>
  <c r="CG51" i="9"/>
  <c r="CQ51" i="9"/>
  <c r="CL52" i="9"/>
  <c r="AD54" i="9"/>
  <c r="AN54" i="9"/>
  <c r="BR55" i="9"/>
  <c r="DK55" i="9"/>
  <c r="AS3" i="12" s="1"/>
  <c r="BC56" i="9"/>
  <c r="BM56" i="9"/>
  <c r="BW56" i="9"/>
  <c r="CG56" i="9"/>
  <c r="CQ56" i="9"/>
  <c r="DA56" i="9"/>
  <c r="AX57" i="9"/>
  <c r="CQ57" i="9"/>
  <c r="AO23" i="12" s="1"/>
  <c r="DA57" i="9"/>
  <c r="DK57" i="9"/>
  <c r="BR59" i="9"/>
  <c r="CB59" i="9"/>
  <c r="CL61" i="9"/>
  <c r="DK62" i="9"/>
  <c r="AI66" i="9"/>
  <c r="DK66" i="9"/>
  <c r="AS9" i="12" s="1"/>
  <c r="AW23" i="8"/>
  <c r="BF9" i="12" s="1"/>
  <c r="BM23" i="8"/>
  <c r="BJ9" i="12" s="1"/>
  <c r="BM24" i="8"/>
  <c r="BP5" i="12"/>
  <c r="U25" i="8"/>
  <c r="AK25" i="8"/>
  <c r="BA25" i="8"/>
  <c r="BQ25" i="8"/>
  <c r="CG25" i="8"/>
  <c r="M26" i="8"/>
  <c r="AC26" i="8"/>
  <c r="AS26" i="8"/>
  <c r="BI26" i="8"/>
  <c r="BY26" i="8"/>
  <c r="U27" i="8"/>
  <c r="AK27" i="8"/>
  <c r="BC14" i="12" s="1"/>
  <c r="BA27" i="8"/>
  <c r="BQ27" i="8"/>
  <c r="CG27" i="8"/>
  <c r="M28" i="8"/>
  <c r="AC28" i="8"/>
  <c r="AS28" i="8"/>
  <c r="U29" i="8"/>
  <c r="AK29" i="8"/>
  <c r="BC10" i="12" s="1"/>
  <c r="BA29" i="8"/>
  <c r="BQ29" i="8"/>
  <c r="CG29" i="8"/>
  <c r="M32" i="8"/>
  <c r="AC32" i="8"/>
  <c r="AS32" i="8"/>
  <c r="BI32" i="8"/>
  <c r="BY32" i="8"/>
  <c r="BM15" i="12" s="1"/>
  <c r="M36" i="8"/>
  <c r="AC36" i="8"/>
  <c r="AS36" i="8"/>
  <c r="BI36" i="8"/>
  <c r="BY36" i="8"/>
  <c r="CQ50" i="9"/>
  <c r="AD51" i="9"/>
  <c r="AN51" i="9"/>
  <c r="AD16" i="12" s="1"/>
  <c r="AI53" i="9"/>
  <c r="AS53" i="9"/>
  <c r="DF53" i="9"/>
  <c r="DP53" i="9"/>
  <c r="AI54" i="9"/>
  <c r="AS54" i="9"/>
  <c r="BC54" i="9"/>
  <c r="BM54" i="9"/>
  <c r="AI24" i="12" s="1"/>
  <c r="BR58" i="9"/>
  <c r="CB58" i="9"/>
  <c r="DK58" i="9"/>
  <c r="BC59" i="9"/>
  <c r="BM59" i="9"/>
  <c r="BW59" i="9"/>
  <c r="CG59" i="9"/>
  <c r="CQ59" i="9"/>
  <c r="AO31" i="12" s="1"/>
  <c r="DA59" i="9"/>
  <c r="CL60" i="9"/>
  <c r="BM61" i="9"/>
  <c r="CQ61" i="9"/>
  <c r="DA61" i="9"/>
  <c r="BM62" i="9"/>
  <c r="CV62" i="9"/>
  <c r="BW63" i="9"/>
  <c r="AK27" i="12" s="1"/>
  <c r="CG63" i="9"/>
  <c r="BH64" i="9"/>
  <c r="BR64" i="9"/>
  <c r="DA64" i="9"/>
  <c r="AS65" i="9"/>
  <c r="DK65" i="9"/>
  <c r="AD66" i="9"/>
  <c r="BM66" i="9"/>
  <c r="AI9" i="12" s="1"/>
  <c r="BW66" i="9"/>
  <c r="CL66" i="9"/>
  <c r="CV66" i="9"/>
  <c r="U23" i="8"/>
  <c r="AY9" i="12" s="1"/>
  <c r="AK23" i="8"/>
  <c r="BC9" i="12" s="1"/>
  <c r="BI23" i="8"/>
  <c r="BI9" i="12" s="1"/>
  <c r="Q25" i="8"/>
  <c r="AG25" i="8"/>
  <c r="BB7" i="12" s="1"/>
  <c r="AW25" i="8"/>
  <c r="BM25" i="8"/>
  <c r="CC25" i="8"/>
  <c r="Y26" i="8"/>
  <c r="AO26" i="8"/>
  <c r="BE26" i="8"/>
  <c r="BU26" i="8"/>
  <c r="Q27" i="8"/>
  <c r="AX14" i="12" s="1"/>
  <c r="AG27" i="8"/>
  <c r="AW27" i="8"/>
  <c r="BM27" i="8"/>
  <c r="CC27" i="8"/>
  <c r="Y28" i="8"/>
  <c r="AO28" i="8"/>
  <c r="BE28" i="8"/>
  <c r="BU28" i="8"/>
  <c r="BL11" i="12" s="1"/>
  <c r="Y30" i="8"/>
  <c r="AO30" i="8"/>
  <c r="BE30" i="8"/>
  <c r="BU30" i="8"/>
  <c r="M33" i="8"/>
  <c r="AC33" i="8"/>
  <c r="AS33" i="8"/>
  <c r="BI33" i="8"/>
  <c r="BI33" i="12" s="1"/>
  <c r="BY33" i="8"/>
  <c r="DK56" i="9"/>
  <c r="DK41" i="9"/>
  <c r="DK42" i="9"/>
  <c r="DK39" i="9"/>
  <c r="M49" i="3"/>
  <c r="M45" i="3"/>
  <c r="AC4" i="12"/>
  <c r="CL43" i="9"/>
  <c r="BR46" i="9"/>
  <c r="CL47" i="9"/>
  <c r="AX49" i="9"/>
  <c r="CQ39" i="9"/>
  <c r="DA39" i="9"/>
  <c r="BM40" i="9"/>
  <c r="CG40" i="9"/>
  <c r="AS41" i="9"/>
  <c r="BM41" i="9"/>
  <c r="AI6" i="12" s="1"/>
  <c r="AI42" i="9"/>
  <c r="AS42" i="9"/>
  <c r="DF43" i="9"/>
  <c r="BR45" i="9"/>
  <c r="AJ10" i="12" s="1"/>
  <c r="CL46" i="9"/>
  <c r="AB4" i="12"/>
  <c r="CL42" i="9"/>
  <c r="BR43" i="9"/>
  <c r="AX47" i="9"/>
  <c r="AF12" i="12" s="1"/>
  <c r="AX48" i="9"/>
  <c r="CL48" i="9"/>
  <c r="AD32" i="12"/>
  <c r="AD4" i="12"/>
  <c r="AC16" i="12"/>
  <c r="AB16" i="12"/>
  <c r="AA34" i="12"/>
  <c r="AE6" i="12"/>
  <c r="AC20" i="12"/>
  <c r="AB20" i="12"/>
  <c r="AA6" i="12"/>
  <c r="AC32" i="12"/>
  <c r="AB32" i="12"/>
  <c r="AA18" i="12"/>
  <c r="AI39" i="9"/>
  <c r="CB39" i="9"/>
  <c r="CL39" i="9"/>
  <c r="CV39" i="9"/>
  <c r="DP39" i="9"/>
  <c r="BH40" i="9"/>
  <c r="AH8" i="12" s="1"/>
  <c r="BR40" i="9"/>
  <c r="CB40" i="9"/>
  <c r="CL40" i="9"/>
  <c r="AN41" i="9"/>
  <c r="AX41" i="9"/>
  <c r="AF6" i="12" s="1"/>
  <c r="BH41" i="9"/>
  <c r="BR41" i="9"/>
  <c r="CB41" i="9"/>
  <c r="AL6" i="12" s="1"/>
  <c r="AD42" i="9"/>
  <c r="AB5" i="12" s="1"/>
  <c r="AN42" i="9"/>
  <c r="AX42" i="9"/>
  <c r="BH42" i="9"/>
  <c r="BR42" i="9"/>
  <c r="AJ5" i="12" s="1"/>
  <c r="DA42" i="9"/>
  <c r="AS44" i="9"/>
  <c r="BR44" i="9"/>
  <c r="AJ11" i="12" s="1"/>
  <c r="CG44" i="9"/>
  <c r="AD45" i="9"/>
  <c r="AN45" i="9"/>
  <c r="BM45" i="9"/>
  <c r="DA45" i="9"/>
  <c r="CG46" i="9"/>
  <c r="DF46" i="9"/>
  <c r="AD47" i="9"/>
  <c r="AB12" i="12" s="1"/>
  <c r="BR47" i="9"/>
  <c r="AJ12" i="12" s="1"/>
  <c r="DF47" i="9"/>
  <c r="AD48" i="9"/>
  <c r="BR48" i="9"/>
  <c r="DF48" i="9"/>
  <c r="AD49" i="9"/>
  <c r="BM49" i="9"/>
  <c r="AA22" i="12"/>
  <c r="BR50" i="9"/>
  <c r="AX51" i="9"/>
  <c r="CV52" i="9"/>
  <c r="AN53" i="9"/>
  <c r="AD20" i="12" s="1"/>
  <c r="BH54" i="9"/>
  <c r="CB55" i="9"/>
  <c r="CV56" i="9"/>
  <c r="DP56" i="9"/>
  <c r="AT14" i="12" s="1"/>
  <c r="BH57" i="9"/>
  <c r="AH23" i="12" s="1"/>
  <c r="CV59" i="9"/>
  <c r="BR61" i="9"/>
  <c r="CB61" i="9"/>
  <c r="BR62" i="9"/>
  <c r="AJ26" i="12" s="1"/>
  <c r="DF62" i="9"/>
  <c r="AD63" i="9"/>
  <c r="BR63" i="9"/>
  <c r="AJ27" i="12" s="1"/>
  <c r="DF63" i="9"/>
  <c r="AD64" i="9"/>
  <c r="AD65" i="9"/>
  <c r="BR65" i="9"/>
  <c r="DF66" i="9"/>
  <c r="CL49" i="9"/>
  <c r="CL50" i="9"/>
  <c r="BR51" i="9"/>
  <c r="AJ16" i="12" s="1"/>
  <c r="AN52" i="9"/>
  <c r="DP52" i="9"/>
  <c r="BH53" i="9"/>
  <c r="CB54" i="9"/>
  <c r="CV55" i="9"/>
  <c r="AP3" i="12" s="1"/>
  <c r="AN56" i="9"/>
  <c r="CB57" i="9"/>
  <c r="AN59" i="9"/>
  <c r="AD31" i="12" s="1"/>
  <c r="CG49" i="9"/>
  <c r="AM22" i="12" s="1"/>
  <c r="AD50" i="9"/>
  <c r="AN50" i="9"/>
  <c r="CG50" i="9"/>
  <c r="BM51" i="9"/>
  <c r="AI16" i="12" s="1"/>
  <c r="DA51" i="9"/>
  <c r="DP51" i="9"/>
  <c r="AI52" i="9"/>
  <c r="AC15" i="12" s="1"/>
  <c r="AS52" i="9"/>
  <c r="AE15" i="12" s="1"/>
  <c r="BH52" i="9"/>
  <c r="DK52" i="9"/>
  <c r="BC53" i="9"/>
  <c r="BM53" i="9"/>
  <c r="S53" i="9" s="1"/>
  <c r="CB53" i="9"/>
  <c r="BW54" i="9"/>
  <c r="CG54" i="9"/>
  <c r="AM24" i="12" s="1"/>
  <c r="CV54" i="9"/>
  <c r="AP24" i="12" s="1"/>
  <c r="AN55" i="9"/>
  <c r="CQ55" i="9"/>
  <c r="DA55" i="9"/>
  <c r="DP55" i="9"/>
  <c r="AT3" i="12" s="1"/>
  <c r="AI56" i="9"/>
  <c r="AS56" i="9"/>
  <c r="AE14" i="12" s="1"/>
  <c r="BH56" i="9"/>
  <c r="AH14" i="12" s="1"/>
  <c r="BW57" i="9"/>
  <c r="AK23" i="12" s="1"/>
  <c r="CG57" i="9"/>
  <c r="CV57" i="9"/>
  <c r="CQ58" i="9"/>
  <c r="DA58" i="9"/>
  <c r="AQ25" i="12" s="1"/>
  <c r="AI59" i="9"/>
  <c r="AS59" i="9"/>
  <c r="BH59" i="9"/>
  <c r="AH31" i="12" s="1"/>
  <c r="DK59" i="9"/>
  <c r="AS31" i="12" s="1"/>
  <c r="BC60" i="9"/>
  <c r="BM60" i="9"/>
  <c r="CV60" i="9"/>
  <c r="CG61" i="9"/>
  <c r="AM32" i="12" s="1"/>
  <c r="DP61" i="9"/>
  <c r="AX62" i="9"/>
  <c r="CL62" i="9"/>
  <c r="AN26" i="12" s="1"/>
  <c r="AX63" i="9"/>
  <c r="AF27" i="12" s="1"/>
  <c r="CL63" i="9"/>
  <c r="CL64" i="9"/>
  <c r="AX65" i="9"/>
  <c r="CL65" i="9"/>
  <c r="I25" i="8"/>
  <c r="Q24" i="8"/>
  <c r="AG24" i="8"/>
  <c r="BB5" i="12" s="1"/>
  <c r="AW24" i="8"/>
  <c r="BF5" i="12" s="1"/>
  <c r="BO4" i="12"/>
  <c r="BA7" i="12"/>
  <c r="AY4" i="12"/>
  <c r="BJ5" i="12"/>
  <c r="AX5" i="12"/>
  <c r="AC23" i="8"/>
  <c r="BA9" i="12" s="1"/>
  <c r="I29" i="8"/>
  <c r="AV10" i="12" s="1"/>
  <c r="AV8" i="12"/>
  <c r="M23" i="8"/>
  <c r="AW9" i="12" s="1"/>
  <c r="Y23" i="8"/>
  <c r="AZ9" i="12" s="1"/>
  <c r="AO23" i="8"/>
  <c r="BD9" i="12" s="1"/>
  <c r="AS23" i="8"/>
  <c r="BE9" i="12" s="1"/>
  <c r="Y24" i="8"/>
  <c r="AZ5" i="12" s="1"/>
  <c r="AO24" i="8"/>
  <c r="BD5" i="12" s="1"/>
  <c r="BE24" i="8"/>
  <c r="BH5" i="12" s="1"/>
  <c r="BU24" i="8"/>
  <c r="BL5" i="12" s="1"/>
  <c r="Y31" i="8"/>
  <c r="AO31" i="8"/>
  <c r="BE31" i="8"/>
  <c r="BU31" i="8"/>
  <c r="CK31" i="8"/>
  <c r="Y32" i="8"/>
  <c r="AZ15" i="12" s="1"/>
  <c r="AO32" i="8"/>
  <c r="BD15" i="12" s="1"/>
  <c r="BE32" i="8"/>
  <c r="BU32" i="8"/>
  <c r="CK32" i="8"/>
  <c r="BP15" i="12" s="1"/>
  <c r="Y33" i="8"/>
  <c r="AO33" i="8"/>
  <c r="BE33" i="8"/>
  <c r="BH33" i="12" s="1"/>
  <c r="BU33" i="8"/>
  <c r="CK33" i="8"/>
  <c r="BP33" i="12" s="1"/>
  <c r="Y34" i="8"/>
  <c r="AO34" i="8"/>
  <c r="BD3" i="12" s="1"/>
  <c r="BE34" i="8"/>
  <c r="BH3" i="12" s="1"/>
  <c r="BU34" i="8"/>
  <c r="CK34" i="8"/>
  <c r="Y35" i="8"/>
  <c r="AO35" i="8"/>
  <c r="BD6" i="12" s="1"/>
  <c r="BE35" i="8"/>
  <c r="BH6" i="12" s="1"/>
  <c r="BU35" i="8"/>
  <c r="CK35" i="8"/>
  <c r="Y36" i="8"/>
  <c r="AO36" i="8"/>
  <c r="BE36" i="8"/>
  <c r="BU36" i="8"/>
  <c r="BL16" i="12" s="1"/>
  <c r="CK36" i="8"/>
  <c r="I36" i="8"/>
  <c r="I32" i="8"/>
  <c r="I28" i="8"/>
  <c r="I24" i="8"/>
  <c r="AV5" i="12" s="1"/>
  <c r="M24" i="8"/>
  <c r="AW5" i="12" s="1"/>
  <c r="AC24" i="8"/>
  <c r="BA5" i="12" s="1"/>
  <c r="AS24" i="8"/>
  <c r="BE5" i="12" s="1"/>
  <c r="BI24" i="8"/>
  <c r="BI5" i="12" s="1"/>
  <c r="BM28" i="8"/>
  <c r="BJ11" i="12" s="1"/>
  <c r="CC28" i="8"/>
  <c r="Q29" i="8"/>
  <c r="AG29" i="8"/>
  <c r="BB10" i="12" s="1"/>
  <c r="AW29" i="8"/>
  <c r="BM29" i="8"/>
  <c r="CC29" i="8"/>
  <c r="BN10" i="12" s="1"/>
  <c r="Q30" i="8"/>
  <c r="AG30" i="8"/>
  <c r="BB17" i="12" s="1"/>
  <c r="AW30" i="8"/>
  <c r="BM30" i="8"/>
  <c r="BJ17" i="12" s="1"/>
  <c r="CC30" i="8"/>
  <c r="BI28" i="8"/>
  <c r="BY28" i="8"/>
  <c r="M29" i="8"/>
  <c r="AC29" i="8"/>
  <c r="AS29" i="8"/>
  <c r="BE10" i="12" s="1"/>
  <c r="BI29" i="8"/>
  <c r="BY29" i="8"/>
  <c r="BM10" i="12" s="1"/>
  <c r="M30" i="8"/>
  <c r="AW17" i="12" s="1"/>
  <c r="AC30" i="8"/>
  <c r="AS30" i="8"/>
  <c r="BI30" i="8"/>
  <c r="BI17" i="12" s="1"/>
  <c r="BY30" i="8"/>
  <c r="BM17" i="12" s="1"/>
  <c r="U31" i="8"/>
  <c r="AY19" i="12" s="1"/>
  <c r="AK31" i="8"/>
  <c r="BA31" i="8"/>
  <c r="BQ31" i="8"/>
  <c r="BK19" i="12" s="1"/>
  <c r="CG31" i="8"/>
  <c r="U32" i="8"/>
  <c r="AK32" i="8"/>
  <c r="BC15" i="12" s="1"/>
  <c r="BA32" i="8"/>
  <c r="BG15" i="12" s="1"/>
  <c r="BQ32" i="8"/>
  <c r="BK15" i="12" s="1"/>
  <c r="CG32" i="8"/>
  <c r="U33" i="8"/>
  <c r="AY33" i="12" s="1"/>
  <c r="AK33" i="8"/>
  <c r="BC33" i="12" s="1"/>
  <c r="BA33" i="8"/>
  <c r="BQ33" i="8"/>
  <c r="CG33" i="8"/>
  <c r="BO33" i="12" s="1"/>
  <c r="U34" i="8"/>
  <c r="AK34" i="8"/>
  <c r="BC3" i="12" s="1"/>
  <c r="BA34" i="8"/>
  <c r="BQ34" i="8"/>
  <c r="CG34" i="8"/>
  <c r="U35" i="8"/>
  <c r="AK35" i="8"/>
  <c r="BA35" i="8"/>
  <c r="BQ35" i="8"/>
  <c r="CG35" i="8"/>
  <c r="BO6" i="12" s="1"/>
  <c r="U36" i="8"/>
  <c r="AK36" i="8"/>
  <c r="BA36" i="8"/>
  <c r="BG16" i="12" s="1"/>
  <c r="BQ36" i="8"/>
  <c r="CG36" i="8"/>
  <c r="BA24" i="8"/>
  <c r="BG5" i="12" s="1"/>
  <c r="BQ24" i="8"/>
  <c r="BK5" i="12" s="1"/>
  <c r="BY24" i="8"/>
  <c r="BM5" i="12" s="1"/>
  <c r="Q31" i="8"/>
  <c r="AG31" i="8"/>
  <c r="AW31" i="8"/>
  <c r="BF19" i="12" s="1"/>
  <c r="BM31" i="8"/>
  <c r="CC31" i="8"/>
  <c r="Q32" i="8"/>
  <c r="AX15" i="12" s="1"/>
  <c r="AG32" i="8"/>
  <c r="BB15" i="12" s="1"/>
  <c r="AW32" i="8"/>
  <c r="BF15" i="12" s="1"/>
  <c r="BM32" i="8"/>
  <c r="CC32" i="8"/>
  <c r="Q33" i="8"/>
  <c r="AX33" i="12" s="1"/>
  <c r="AG33" i="8"/>
  <c r="AW33" i="8"/>
  <c r="BF33" i="12" s="1"/>
  <c r="BM33" i="8"/>
  <c r="CC33" i="8"/>
  <c r="BN33" i="12" s="1"/>
  <c r="Q34" i="8"/>
  <c r="AG34" i="8"/>
  <c r="AW34" i="8"/>
  <c r="BM34" i="8"/>
  <c r="BJ3" i="12" s="1"/>
  <c r="CC34" i="8"/>
  <c r="Q35" i="8"/>
  <c r="AG35" i="8"/>
  <c r="BB6" i="12" s="1"/>
  <c r="AW35" i="8"/>
  <c r="BF6" i="12" s="1"/>
  <c r="BM35" i="8"/>
  <c r="BJ6" i="12" s="1"/>
  <c r="CC35" i="8"/>
  <c r="Q36" i="8"/>
  <c r="AG36" i="8"/>
  <c r="BB16" i="12" s="1"/>
  <c r="AW36" i="8"/>
  <c r="BM36" i="8"/>
  <c r="CC36" i="8"/>
  <c r="BL8" i="12"/>
  <c r="I33" i="8"/>
  <c r="AV33" i="12" s="1"/>
  <c r="BK32" i="12"/>
  <c r="BP31" i="12"/>
  <c r="BE30" i="12"/>
  <c r="BJ29" i="12"/>
  <c r="AY28" i="12"/>
  <c r="BI26" i="12"/>
  <c r="BN25" i="12"/>
  <c r="BC24" i="12"/>
  <c r="BM22" i="12"/>
  <c r="AW22" i="12"/>
  <c r="BG20" i="12"/>
  <c r="AZ19" i="12"/>
  <c r="BK18" i="12"/>
  <c r="BP17" i="12"/>
  <c r="AZ17" i="12"/>
  <c r="BM16" i="12"/>
  <c r="AW16" i="12"/>
  <c r="BG14" i="12"/>
  <c r="AY14" i="12"/>
  <c r="BD13" i="12"/>
  <c r="BA34" i="12"/>
  <c r="AZ31" i="12"/>
  <c r="BO28" i="12"/>
  <c r="BD27" i="12"/>
  <c r="AX25" i="12"/>
  <c r="BH23" i="12"/>
  <c r="BB21" i="12"/>
  <c r="BL19" i="12"/>
  <c r="BC18" i="12"/>
  <c r="BH17" i="12"/>
  <c r="BE16" i="12"/>
  <c r="BJ15" i="12"/>
  <c r="BO14" i="12"/>
  <c r="BL13" i="12"/>
  <c r="AV13" i="12"/>
  <c r="BI12" i="12"/>
  <c r="AZ8" i="12"/>
  <c r="BP8" i="12"/>
  <c r="BF11" i="12"/>
  <c r="I34" i="8"/>
  <c r="AV3" i="12" s="1"/>
  <c r="I30" i="8"/>
  <c r="I26" i="8"/>
  <c r="BL3" i="12"/>
  <c r="BG4" i="12"/>
  <c r="AX6" i="12"/>
  <c r="BN6" i="12"/>
  <c r="BD8" i="12"/>
  <c r="BG10" i="12"/>
  <c r="BN11" i="12"/>
  <c r="I35" i="8"/>
  <c r="I31" i="8"/>
  <c r="I27" i="8"/>
  <c r="AZ3" i="12"/>
  <c r="BP3" i="12"/>
  <c r="BK4" i="12"/>
  <c r="BH8" i="12"/>
  <c r="BL10" i="12"/>
  <c r="BA12" i="12"/>
  <c r="BP34" i="12"/>
  <c r="BL34" i="12"/>
  <c r="BH34" i="12"/>
  <c r="BD34" i="12"/>
  <c r="AZ34" i="12"/>
  <c r="AV34" i="12"/>
  <c r="BM33" i="12"/>
  <c r="BE33" i="12"/>
  <c r="BA33" i="12"/>
  <c r="AW33" i="12"/>
  <c r="BN32" i="12"/>
  <c r="BJ32" i="12"/>
  <c r="BF32" i="12"/>
  <c r="BB32" i="12"/>
  <c r="AX32" i="12"/>
  <c r="BO31" i="12"/>
  <c r="BK31" i="12"/>
  <c r="BG31" i="12"/>
  <c r="BC31" i="12"/>
  <c r="AY31" i="12"/>
  <c r="BP30" i="12"/>
  <c r="BL30" i="12"/>
  <c r="BH30" i="12"/>
  <c r="BD30" i="12"/>
  <c r="AZ30" i="12"/>
  <c r="AV30" i="12"/>
  <c r="BM29" i="12"/>
  <c r="BI29" i="12"/>
  <c r="BE29" i="12"/>
  <c r="BA29" i="12"/>
  <c r="AW29" i="12"/>
  <c r="BN28" i="12"/>
  <c r="BJ28" i="12"/>
  <c r="BF28" i="12"/>
  <c r="BB28" i="12"/>
  <c r="AX28" i="12"/>
  <c r="BO27" i="12"/>
  <c r="BK27" i="12"/>
  <c r="BG27" i="12"/>
  <c r="BC27" i="12"/>
  <c r="AY27" i="12"/>
  <c r="BP26" i="12"/>
  <c r="BL26" i="12"/>
  <c r="BH26" i="12"/>
  <c r="BD26" i="12"/>
  <c r="AZ26" i="12"/>
  <c r="AV26" i="12"/>
  <c r="BM25" i="12"/>
  <c r="BI25" i="12"/>
  <c r="BE25" i="12"/>
  <c r="BA25" i="12"/>
  <c r="AW25" i="12"/>
  <c r="BN24" i="12"/>
  <c r="BJ24" i="12"/>
  <c r="BF24" i="12"/>
  <c r="BB24" i="12"/>
  <c r="AX24" i="12"/>
  <c r="BO23" i="12"/>
  <c r="BK23" i="12"/>
  <c r="BG23" i="12"/>
  <c r="BC23" i="12"/>
  <c r="AY23" i="12"/>
  <c r="BP22" i="12"/>
  <c r="BL22" i="12"/>
  <c r="BH22" i="12"/>
  <c r="BD22" i="12"/>
  <c r="AZ22" i="12"/>
  <c r="AV22" i="12"/>
  <c r="BM21" i="12"/>
  <c r="BI21" i="12"/>
  <c r="BE21" i="12"/>
  <c r="BA21" i="12"/>
  <c r="AW21" i="12"/>
  <c r="BN20" i="12"/>
  <c r="BJ20" i="12"/>
  <c r="BF20" i="12"/>
  <c r="BB20" i="12"/>
  <c r="AX20" i="12"/>
  <c r="BO19" i="12"/>
  <c r="BO34" i="12"/>
  <c r="BK34" i="12"/>
  <c r="BG34" i="12"/>
  <c r="BC34" i="12"/>
  <c r="AY34" i="12"/>
  <c r="BL33" i="12"/>
  <c r="BD33" i="12"/>
  <c r="AZ33" i="12"/>
  <c r="BM32" i="12"/>
  <c r="BI32" i="12"/>
  <c r="BE32" i="12"/>
  <c r="BA32" i="12"/>
  <c r="AW32" i="12"/>
  <c r="BN31" i="12"/>
  <c r="BJ31" i="12"/>
  <c r="BF31" i="12"/>
  <c r="BB31" i="12"/>
  <c r="AX31" i="12"/>
  <c r="BO30" i="12"/>
  <c r="BK30" i="12"/>
  <c r="BG30" i="12"/>
  <c r="BC30" i="12"/>
  <c r="AY30" i="12"/>
  <c r="BP29" i="12"/>
  <c r="BL29" i="12"/>
  <c r="BH29" i="12"/>
  <c r="BD29" i="12"/>
  <c r="AZ29" i="12"/>
  <c r="AV29" i="12"/>
  <c r="BM28" i="12"/>
  <c r="BI28" i="12"/>
  <c r="BE28" i="12"/>
  <c r="BA28" i="12"/>
  <c r="AW28" i="12"/>
  <c r="BN27" i="12"/>
  <c r="BJ27" i="12"/>
  <c r="BF27" i="12"/>
  <c r="BB27" i="12"/>
  <c r="AX27" i="12"/>
  <c r="BO26" i="12"/>
  <c r="BK26" i="12"/>
  <c r="BG26" i="12"/>
  <c r="BC26" i="12"/>
  <c r="AY26" i="12"/>
  <c r="BP25" i="12"/>
  <c r="BL25" i="12"/>
  <c r="BH25" i="12"/>
  <c r="BD25" i="12"/>
  <c r="AZ25" i="12"/>
  <c r="AV25" i="12"/>
  <c r="BM24" i="12"/>
  <c r="BI24" i="12"/>
  <c r="BE24" i="12"/>
  <c r="BA24" i="12"/>
  <c r="AW24" i="12"/>
  <c r="BN23" i="12"/>
  <c r="BJ23" i="12"/>
  <c r="BF23" i="12"/>
  <c r="BB23" i="12"/>
  <c r="AX23" i="12"/>
  <c r="BO22" i="12"/>
  <c r="BK22" i="12"/>
  <c r="BG22" i="12"/>
  <c r="BC22" i="12"/>
  <c r="AY22" i="12"/>
  <c r="BP21" i="12"/>
  <c r="BL21" i="12"/>
  <c r="BH21" i="12"/>
  <c r="BD21" i="12"/>
  <c r="AZ21" i="12"/>
  <c r="AV21" i="12"/>
  <c r="BM20" i="12"/>
  <c r="BI20" i="12"/>
  <c r="BE20" i="12"/>
  <c r="BA20" i="12"/>
  <c r="AW20" i="12"/>
  <c r="BN19" i="12"/>
  <c r="BJ19" i="12"/>
  <c r="BB19" i="12"/>
  <c r="AX19" i="12"/>
  <c r="BO18" i="12"/>
  <c r="BN34" i="12"/>
  <c r="BF34" i="12"/>
  <c r="AX34" i="12"/>
  <c r="BK33" i="12"/>
  <c r="BP32" i="12"/>
  <c r="BH32" i="12"/>
  <c r="AZ32" i="12"/>
  <c r="BM31" i="12"/>
  <c r="BE31" i="12"/>
  <c r="AW31" i="12"/>
  <c r="BJ30" i="12"/>
  <c r="BB30" i="12"/>
  <c r="BO29" i="12"/>
  <c r="BG29" i="12"/>
  <c r="AY29" i="12"/>
  <c r="BL28" i="12"/>
  <c r="BD28" i="12"/>
  <c r="AV28" i="12"/>
  <c r="BI27" i="12"/>
  <c r="BA27" i="12"/>
  <c r="BN26" i="12"/>
  <c r="BF26" i="12"/>
  <c r="AX26" i="12"/>
  <c r="BK25" i="12"/>
  <c r="BC25" i="12"/>
  <c r="BP24" i="12"/>
  <c r="BH24" i="12"/>
  <c r="AZ24" i="12"/>
  <c r="BM23" i="12"/>
  <c r="BE23" i="12"/>
  <c r="AW23" i="12"/>
  <c r="BJ22" i="12"/>
  <c r="BB22" i="12"/>
  <c r="BO21" i="12"/>
  <c r="BG21" i="12"/>
  <c r="AY21" i="12"/>
  <c r="BL20" i="12"/>
  <c r="BD20" i="12"/>
  <c r="AV20" i="12"/>
  <c r="BI19" i="12"/>
  <c r="BD19" i="12"/>
  <c r="BN18" i="12"/>
  <c r="BJ18" i="12"/>
  <c r="BF18" i="12"/>
  <c r="BB18" i="12"/>
  <c r="AX18" i="12"/>
  <c r="BO17" i="12"/>
  <c r="BK17" i="12"/>
  <c r="BG17" i="12"/>
  <c r="AY17" i="12"/>
  <c r="BP16" i="12"/>
  <c r="BH16" i="12"/>
  <c r="BD16" i="12"/>
  <c r="AZ16" i="12"/>
  <c r="AV16" i="12"/>
  <c r="BI15" i="12"/>
  <c r="BE15" i="12"/>
  <c r="BA15" i="12"/>
  <c r="AW15" i="12"/>
  <c r="BN14" i="12"/>
  <c r="BJ14" i="12"/>
  <c r="BF14" i="12"/>
  <c r="BB14" i="12"/>
  <c r="BO13" i="12"/>
  <c r="BK13" i="12"/>
  <c r="BG13" i="12"/>
  <c r="BC13" i="12"/>
  <c r="AY13" i="12"/>
  <c r="BP12" i="12"/>
  <c r="BL12" i="12"/>
  <c r="BH12" i="12"/>
  <c r="BD12" i="12"/>
  <c r="AZ12" i="12"/>
  <c r="AV12" i="12"/>
  <c r="BM11" i="12"/>
  <c r="BI11" i="12"/>
  <c r="BE11" i="12"/>
  <c r="BA11" i="12"/>
  <c r="AW11" i="12"/>
  <c r="BM34" i="12"/>
  <c r="BE34" i="12"/>
  <c r="AW34" i="12"/>
  <c r="BJ33" i="12"/>
  <c r="BB33" i="12"/>
  <c r="BO32" i="12"/>
  <c r="BG32" i="12"/>
  <c r="AY32" i="12"/>
  <c r="BL31" i="12"/>
  <c r="BD31" i="12"/>
  <c r="AV31" i="12"/>
  <c r="BI30" i="12"/>
  <c r="BA30" i="12"/>
  <c r="BN29" i="12"/>
  <c r="BF29" i="12"/>
  <c r="AX29" i="12"/>
  <c r="BK28" i="12"/>
  <c r="BC28" i="12"/>
  <c r="BP27" i="12"/>
  <c r="BH27" i="12"/>
  <c r="AZ27" i="12"/>
  <c r="BM26" i="12"/>
  <c r="BE26" i="12"/>
  <c r="AW26" i="12"/>
  <c r="BJ25" i="12"/>
  <c r="BB25" i="12"/>
  <c r="BO24" i="12"/>
  <c r="BG24" i="12"/>
  <c r="AY24" i="12"/>
  <c r="BL23" i="12"/>
  <c r="BD23" i="12"/>
  <c r="AV23" i="12"/>
  <c r="BI22" i="12"/>
  <c r="BA22" i="12"/>
  <c r="BN21" i="12"/>
  <c r="BF21" i="12"/>
  <c r="AX21" i="12"/>
  <c r="BK20" i="12"/>
  <c r="BC20" i="12"/>
  <c r="BP19" i="12"/>
  <c r="BH19" i="12"/>
  <c r="BC19" i="12"/>
  <c r="BM18" i="12"/>
  <c r="BI18" i="12"/>
  <c r="BE18" i="12"/>
  <c r="BA18" i="12"/>
  <c r="AW18" i="12"/>
  <c r="BN17" i="12"/>
  <c r="BF17" i="12"/>
  <c r="AX17" i="12"/>
  <c r="BO16" i="12"/>
  <c r="BK16" i="12"/>
  <c r="BC16" i="12"/>
  <c r="AY16" i="12"/>
  <c r="BL15" i="12"/>
  <c r="BH15" i="12"/>
  <c r="AV15" i="12"/>
  <c r="BM14" i="12"/>
  <c r="BI14" i="12"/>
  <c r="BE14" i="12"/>
  <c r="BA14" i="12"/>
  <c r="AW14" i="12"/>
  <c r="BN13" i="12"/>
  <c r="BJ13" i="12"/>
  <c r="BF13" i="12"/>
  <c r="BB13" i="12"/>
  <c r="AX13" i="12"/>
  <c r="BO12" i="12"/>
  <c r="BK12" i="12"/>
  <c r="BG12" i="12"/>
  <c r="BC12" i="12"/>
  <c r="AY12" i="12"/>
  <c r="BP11" i="12"/>
  <c r="BH11" i="12"/>
  <c r="BD11" i="12"/>
  <c r="AZ11" i="12"/>
  <c r="AV11" i="12"/>
  <c r="BI10" i="12"/>
  <c r="BA10" i="12"/>
  <c r="BA3" i="12"/>
  <c r="BM3" i="12"/>
  <c r="BD4" i="12"/>
  <c r="BL4" i="12"/>
  <c r="AY6" i="12"/>
  <c r="BG6" i="12"/>
  <c r="AX7" i="12"/>
  <c r="BF7" i="12"/>
  <c r="AW8" i="12"/>
  <c r="BI8" i="12"/>
  <c r="AX10" i="12"/>
  <c r="BG11" i="12"/>
  <c r="BB12" i="12"/>
  <c r="BE13" i="12"/>
  <c r="AZ14" i="12"/>
  <c r="AX16" i="12"/>
  <c r="BN16" i="12"/>
  <c r="BL18" i="12"/>
  <c r="BM19" i="12"/>
  <c r="AX22" i="12"/>
  <c r="BI23" i="12"/>
  <c r="BO25" i="12"/>
  <c r="BE27" i="12"/>
  <c r="BK29" i="12"/>
  <c r="BG33" i="12"/>
  <c r="AX3" i="12"/>
  <c r="BB3" i="12"/>
  <c r="BF3" i="12"/>
  <c r="BN3" i="12"/>
  <c r="AW4" i="12"/>
  <c r="BA4" i="12"/>
  <c r="BE4" i="12"/>
  <c r="BI4" i="12"/>
  <c r="BM4" i="12"/>
  <c r="AZ6" i="12"/>
  <c r="BL6" i="12"/>
  <c r="BP6" i="12"/>
  <c r="AY7" i="12"/>
  <c r="BC7" i="12"/>
  <c r="BG7" i="12"/>
  <c r="BK7" i="12"/>
  <c r="BO7" i="12"/>
  <c r="AX8" i="12"/>
  <c r="BB8" i="12"/>
  <c r="BF8" i="12"/>
  <c r="BJ8" i="12"/>
  <c r="BN8" i="12"/>
  <c r="AY10" i="12"/>
  <c r="BD10" i="12"/>
  <c r="BJ10" i="12"/>
  <c r="BO10" i="12"/>
  <c r="BB11" i="12"/>
  <c r="AW12" i="12"/>
  <c r="BE12" i="12"/>
  <c r="BM12" i="12"/>
  <c r="AZ13" i="12"/>
  <c r="BH13" i="12"/>
  <c r="BP13" i="12"/>
  <c r="BK14" i="12"/>
  <c r="BN15" i="12"/>
  <c r="BA16" i="12"/>
  <c r="BI16" i="12"/>
  <c r="AV17" i="12"/>
  <c r="BD17" i="12"/>
  <c r="BL17" i="12"/>
  <c r="AY18" i="12"/>
  <c r="BG18" i="12"/>
  <c r="BP18" i="12"/>
  <c r="BE19" i="12"/>
  <c r="AY20" i="12"/>
  <c r="BO20" i="12"/>
  <c r="BJ21" i="12"/>
  <c r="BE22" i="12"/>
  <c r="AZ23" i="12"/>
  <c r="BP23" i="12"/>
  <c r="BK24" i="12"/>
  <c r="BF25" i="12"/>
  <c r="BA26" i="12"/>
  <c r="AV27" i="12"/>
  <c r="BL27" i="12"/>
  <c r="BG28" i="12"/>
  <c r="BB29" i="12"/>
  <c r="AW30" i="12"/>
  <c r="BM30" i="12"/>
  <c r="BH31" i="12"/>
  <c r="BC32" i="12"/>
  <c r="BI34" i="12"/>
  <c r="AW3" i="12"/>
  <c r="BE3" i="12"/>
  <c r="BI3" i="12"/>
  <c r="AZ4" i="12"/>
  <c r="BH4" i="12"/>
  <c r="BP4" i="12"/>
  <c r="BC6" i="12"/>
  <c r="BK6" i="12"/>
  <c r="BJ7" i="12"/>
  <c r="BN7" i="12"/>
  <c r="BA8" i="12"/>
  <c r="BE8" i="12"/>
  <c r="BM8" i="12"/>
  <c r="BH10" i="12"/>
  <c r="AY11" i="12"/>
  <c r="BO11" i="12"/>
  <c r="BJ12" i="12"/>
  <c r="AW13" i="12"/>
  <c r="BM13" i="12"/>
  <c r="BH14" i="12"/>
  <c r="BP14" i="12"/>
  <c r="BF16" i="12"/>
  <c r="BA17" i="12"/>
  <c r="AV18" i="12"/>
  <c r="BD18" i="12"/>
  <c r="BA19" i="12"/>
  <c r="BH20" i="12"/>
  <c r="BC21" i="12"/>
  <c r="BN22" i="12"/>
  <c r="BD24" i="12"/>
  <c r="AY25" i="12"/>
  <c r="BJ26" i="12"/>
  <c r="AZ28" i="12"/>
  <c r="BP28" i="12"/>
  <c r="BF30" i="12"/>
  <c r="BA31" i="12"/>
  <c r="AV32" i="12"/>
  <c r="BL32" i="12"/>
  <c r="BB34" i="12"/>
  <c r="AY3" i="12"/>
  <c r="BG3" i="12"/>
  <c r="BK3" i="12"/>
  <c r="BO3" i="12"/>
  <c r="AX4" i="12"/>
  <c r="BB4" i="12"/>
  <c r="BF4" i="12"/>
  <c r="BJ4" i="12"/>
  <c r="BN4" i="12"/>
  <c r="AW6" i="12"/>
  <c r="BA6" i="12"/>
  <c r="BE6" i="12"/>
  <c r="BM6" i="12"/>
  <c r="AV7" i="12"/>
  <c r="AZ7" i="12"/>
  <c r="BD7" i="12"/>
  <c r="BL7" i="12"/>
  <c r="BP7" i="12"/>
  <c r="AY8" i="12"/>
  <c r="BC8" i="12"/>
  <c r="BG8" i="12"/>
  <c r="BK8" i="12"/>
  <c r="BO8" i="12"/>
  <c r="AZ10" i="12"/>
  <c r="BF10" i="12"/>
  <c r="BK10" i="12"/>
  <c r="BP10" i="12"/>
  <c r="BC11" i="12"/>
  <c r="BK11" i="12"/>
  <c r="AX12" i="12"/>
  <c r="BF12" i="12"/>
  <c r="BN12" i="12"/>
  <c r="BA13" i="12"/>
  <c r="BI13" i="12"/>
  <c r="AV14" i="12"/>
  <c r="BD14" i="12"/>
  <c r="AY15" i="12"/>
  <c r="BO15" i="12"/>
  <c r="BJ16" i="12"/>
  <c r="BE17" i="12"/>
  <c r="AZ18" i="12"/>
  <c r="BH18" i="12"/>
  <c r="BG19" i="12"/>
  <c r="AZ20" i="12"/>
  <c r="BP20" i="12"/>
  <c r="BK21" i="12"/>
  <c r="BF22" i="12"/>
  <c r="BA23" i="12"/>
  <c r="AV24" i="12"/>
  <c r="BL24" i="12"/>
  <c r="BG25" i="12"/>
  <c r="BB26" i="12"/>
  <c r="AW27" i="12"/>
  <c r="BM27" i="12"/>
  <c r="BH28" i="12"/>
  <c r="BC29" i="12"/>
  <c r="AX30" i="12"/>
  <c r="BN30" i="12"/>
  <c r="BI31" i="12"/>
  <c r="BD32" i="12"/>
  <c r="BJ34" i="12"/>
  <c r="BM9" i="12"/>
  <c r="DK43" i="9"/>
  <c r="AT24" i="12"/>
  <c r="BW40" i="9"/>
  <c r="AA14" i="12"/>
  <c r="AB28" i="12"/>
  <c r="AC28" i="12"/>
  <c r="AC12" i="12"/>
  <c r="AD28" i="12"/>
  <c r="AD12" i="12"/>
  <c r="AE28" i="12"/>
  <c r="AU24" i="12"/>
  <c r="AQ26" i="12"/>
  <c r="AM26" i="12"/>
  <c r="AI28" i="12"/>
  <c r="AG12" i="12"/>
  <c r="AR25" i="12"/>
  <c r="AO26" i="12"/>
  <c r="AK26" i="12"/>
  <c r="AI12" i="12"/>
  <c r="AH12" i="12"/>
  <c r="AG28" i="12"/>
  <c r="AS20" i="12"/>
  <c r="AP26" i="12"/>
  <c r="AL26" i="12"/>
  <c r="AJ28" i="12"/>
  <c r="AH28" i="12"/>
  <c r="AA10" i="12"/>
  <c r="AA26" i="12"/>
  <c r="AB24" i="12"/>
  <c r="AC24" i="12"/>
  <c r="AC8" i="12"/>
  <c r="AD24" i="12"/>
  <c r="AE22" i="12"/>
  <c r="AS39" i="9"/>
  <c r="DA40" i="9"/>
  <c r="CG41" i="9"/>
  <c r="DP42" i="9"/>
  <c r="AT5" i="12" s="1"/>
  <c r="AS43" i="9"/>
  <c r="DA43" i="9"/>
  <c r="AQ4" i="12" s="1"/>
  <c r="AA17" i="12"/>
  <c r="AA13" i="12"/>
  <c r="AA9" i="12"/>
  <c r="AA5" i="12"/>
  <c r="AA33" i="12"/>
  <c r="AA29" i="12"/>
  <c r="AA25" i="12"/>
  <c r="AA21" i="12"/>
  <c r="AB31" i="12"/>
  <c r="AB27" i="12"/>
  <c r="AB23" i="12"/>
  <c r="AB19" i="12"/>
  <c r="AB15" i="12"/>
  <c r="AB11" i="12"/>
  <c r="AB7" i="12"/>
  <c r="AB3" i="12"/>
  <c r="AC31" i="12"/>
  <c r="AC27" i="12"/>
  <c r="AC23" i="12"/>
  <c r="AC19" i="12"/>
  <c r="AC11" i="12"/>
  <c r="AC7" i="12"/>
  <c r="AC3" i="12"/>
  <c r="AD27" i="12"/>
  <c r="AD23" i="12"/>
  <c r="AD19" i="12"/>
  <c r="AD15" i="12"/>
  <c r="AD11" i="12"/>
  <c r="AD3" i="12"/>
  <c r="AE31" i="12"/>
  <c r="AE27" i="12"/>
  <c r="AE20" i="12"/>
  <c r="AE12" i="12"/>
  <c r="AE4" i="12"/>
  <c r="AF24" i="12"/>
  <c r="AG24" i="12"/>
  <c r="AG8" i="12"/>
  <c r="AI8" i="12"/>
  <c r="AJ24" i="12"/>
  <c r="AJ8" i="12"/>
  <c r="AK18" i="12"/>
  <c r="AL18" i="12"/>
  <c r="AM18" i="12"/>
  <c r="AN18" i="12"/>
  <c r="AO18" i="12"/>
  <c r="AP18" i="12"/>
  <c r="AQ18" i="12"/>
  <c r="AR17" i="12"/>
  <c r="AS8" i="12"/>
  <c r="AN39" i="9"/>
  <c r="AD7" i="12" s="1"/>
  <c r="AX39" i="9"/>
  <c r="BM39" i="9"/>
  <c r="AI7" i="12" s="1"/>
  <c r="AD40" i="9"/>
  <c r="AS40" i="9"/>
  <c r="CV40" i="9"/>
  <c r="DF40" i="9"/>
  <c r="AR8" i="12" s="1"/>
  <c r="AU8" i="12"/>
  <c r="CL41" i="9"/>
  <c r="AN6" i="12" s="1"/>
  <c r="DA41" i="9"/>
  <c r="AA20" i="12"/>
  <c r="AA16" i="12"/>
  <c r="AA12" i="12"/>
  <c r="AA8" i="12"/>
  <c r="AA4" i="12"/>
  <c r="AA28" i="12"/>
  <c r="AA24" i="12"/>
  <c r="AB34" i="12"/>
  <c r="AB30" i="12"/>
  <c r="AB26" i="12"/>
  <c r="AB22" i="12"/>
  <c r="AB18" i="12"/>
  <c r="AB14" i="12"/>
  <c r="AB10" i="12"/>
  <c r="AC34" i="12"/>
  <c r="AC22" i="12"/>
  <c r="AC18" i="12"/>
  <c r="AC14" i="12"/>
  <c r="AC10" i="12"/>
  <c r="AC6" i="12"/>
  <c r="AD34" i="12"/>
  <c r="AD26" i="12"/>
  <c r="AD22" i="12"/>
  <c r="AD18" i="12"/>
  <c r="AD14" i="12"/>
  <c r="AD10" i="12"/>
  <c r="AD6" i="12"/>
  <c r="AE34" i="12"/>
  <c r="AE30" i="12"/>
  <c r="AE18" i="12"/>
  <c r="AE10" i="12"/>
  <c r="AF34" i="12"/>
  <c r="AF20" i="12"/>
  <c r="AF4" i="12"/>
  <c r="AG20" i="12"/>
  <c r="AG4" i="12"/>
  <c r="AH20" i="12"/>
  <c r="AH4" i="12"/>
  <c r="AJ20" i="12"/>
  <c r="AJ4" i="12"/>
  <c r="AK10" i="12"/>
  <c r="AL10" i="12"/>
  <c r="AN10" i="12"/>
  <c r="AO10" i="12"/>
  <c r="AP10" i="12"/>
  <c r="AQ10" i="12"/>
  <c r="AU5" i="12"/>
  <c r="AU9" i="12"/>
  <c r="AU13" i="12"/>
  <c r="AU17" i="12"/>
  <c r="AU21" i="12"/>
  <c r="AU25" i="12"/>
  <c r="AU29" i="12"/>
  <c r="AU33" i="12"/>
  <c r="AT9" i="12"/>
  <c r="AT13" i="12"/>
  <c r="AT17" i="12"/>
  <c r="AT21" i="12"/>
  <c r="AT25" i="12"/>
  <c r="AT29" i="12"/>
  <c r="AT33" i="12"/>
  <c r="AS5" i="12"/>
  <c r="AS13" i="12"/>
  <c r="AS21" i="12"/>
  <c r="AS25" i="12"/>
  <c r="AS29" i="12"/>
  <c r="AS33" i="12"/>
  <c r="AR18" i="12"/>
  <c r="AR22" i="12"/>
  <c r="AR26" i="12"/>
  <c r="AR30" i="12"/>
  <c r="AQ3" i="12"/>
  <c r="AQ7" i="12"/>
  <c r="AQ11" i="12"/>
  <c r="AQ15" i="12"/>
  <c r="AQ23" i="12"/>
  <c r="AQ27" i="12"/>
  <c r="AQ31" i="12"/>
  <c r="AP7" i="12"/>
  <c r="AP11" i="12"/>
  <c r="AP15" i="12"/>
  <c r="AP23" i="12"/>
  <c r="AP27" i="12"/>
  <c r="AP31" i="12"/>
  <c r="AO3" i="12"/>
  <c r="AO7" i="12"/>
  <c r="AO11" i="12"/>
  <c r="AO15" i="12"/>
  <c r="AO19" i="12"/>
  <c r="AO27" i="12"/>
  <c r="AN3" i="12"/>
  <c r="AN7" i="12"/>
  <c r="AN11" i="12"/>
  <c r="AN15" i="12"/>
  <c r="AN19" i="12"/>
  <c r="AN23" i="12"/>
  <c r="AN27" i="12"/>
  <c r="AN31" i="12"/>
  <c r="AM3" i="12"/>
  <c r="AM11" i="12"/>
  <c r="AM19" i="12"/>
  <c r="AM23" i="12"/>
  <c r="AM27" i="12"/>
  <c r="AM31" i="12"/>
  <c r="AL3" i="12"/>
  <c r="AL7" i="12"/>
  <c r="AL11" i="12"/>
  <c r="AL15" i="12"/>
  <c r="AL19" i="12"/>
  <c r="AL23" i="12"/>
  <c r="AL27" i="12"/>
  <c r="AL31" i="12"/>
  <c r="AK3" i="12"/>
  <c r="AK7" i="12"/>
  <c r="AK11" i="12"/>
  <c r="AK15" i="12"/>
  <c r="AK19" i="12"/>
  <c r="AU10" i="12"/>
  <c r="AU14" i="12"/>
  <c r="AU18" i="12"/>
  <c r="AU22" i="12"/>
  <c r="AU26" i="12"/>
  <c r="AU30" i="12"/>
  <c r="AU34" i="12"/>
  <c r="AT6" i="12"/>
  <c r="AT10" i="12"/>
  <c r="AT18" i="12"/>
  <c r="AT22" i="12"/>
  <c r="AT26" i="12"/>
  <c r="AT30" i="12"/>
  <c r="AT34" i="12"/>
  <c r="AS6" i="12"/>
  <c r="AS10" i="12"/>
  <c r="AS14" i="12"/>
  <c r="AS18" i="12"/>
  <c r="AS22" i="12"/>
  <c r="AS26" i="12"/>
  <c r="AS30" i="12"/>
  <c r="AS34" i="12"/>
  <c r="AR10" i="12"/>
  <c r="AR15" i="12"/>
  <c r="AR19" i="12"/>
  <c r="AR23" i="12"/>
  <c r="AR27" i="12"/>
  <c r="AR31" i="12"/>
  <c r="AQ8" i="12"/>
  <c r="AQ12" i="12"/>
  <c r="AQ16" i="12"/>
  <c r="AQ20" i="12"/>
  <c r="AQ24" i="12"/>
  <c r="AQ28" i="12"/>
  <c r="AQ32" i="12"/>
  <c r="AP8" i="12"/>
  <c r="AP12" i="12"/>
  <c r="AP16" i="12"/>
  <c r="AP20" i="12"/>
  <c r="AP28" i="12"/>
  <c r="AP32" i="12"/>
  <c r="AO4" i="12"/>
  <c r="AO8" i="12"/>
  <c r="AO12" i="12"/>
  <c r="AO16" i="12"/>
  <c r="AO20" i="12"/>
  <c r="AO24" i="12"/>
  <c r="AO28" i="12"/>
  <c r="AO32" i="12"/>
  <c r="AN4" i="12"/>
  <c r="AN8" i="12"/>
  <c r="AN12" i="12"/>
  <c r="AN16" i="12"/>
  <c r="AN20" i="12"/>
  <c r="AN24" i="12"/>
  <c r="AN28" i="12"/>
  <c r="AN32" i="12"/>
  <c r="AM4" i="12"/>
  <c r="AM8" i="12"/>
  <c r="AM12" i="12"/>
  <c r="AM16" i="12"/>
  <c r="AM20" i="12"/>
  <c r="AM28" i="12"/>
  <c r="AL4" i="12"/>
  <c r="AL8" i="12"/>
  <c r="AL12" i="12"/>
  <c r="AL16" i="12"/>
  <c r="AL20" i="12"/>
  <c r="AL24" i="12"/>
  <c r="AL28" i="12"/>
  <c r="AL32" i="12"/>
  <c r="AK4" i="12"/>
  <c r="AK8" i="12"/>
  <c r="AK12" i="12"/>
  <c r="AK16" i="12"/>
  <c r="AK20" i="12"/>
  <c r="AK24" i="12"/>
  <c r="AK28" i="12"/>
  <c r="AU3" i="12"/>
  <c r="AU7" i="12"/>
  <c r="AU11" i="12"/>
  <c r="AU15" i="12"/>
  <c r="AU19" i="12"/>
  <c r="AU23" i="12"/>
  <c r="AU27" i="12"/>
  <c r="AU31" i="12"/>
  <c r="AT7" i="12"/>
  <c r="AT11" i="12"/>
  <c r="AT15" i="12"/>
  <c r="AT19" i="12"/>
  <c r="AT23" i="12"/>
  <c r="AT27" i="12"/>
  <c r="AT31" i="12"/>
  <c r="AS7" i="12"/>
  <c r="AS11" i="12"/>
  <c r="AS15" i="12"/>
  <c r="AU12" i="12"/>
  <c r="AU28" i="12"/>
  <c r="AT12" i="12"/>
  <c r="AT28" i="12"/>
  <c r="AS12" i="12"/>
  <c r="AS23" i="12"/>
  <c r="AR20" i="12"/>
  <c r="AR28" i="12"/>
  <c r="AQ5" i="12"/>
  <c r="AQ13" i="12"/>
  <c r="AQ21" i="12"/>
  <c r="AQ29" i="12"/>
  <c r="AP5" i="12"/>
  <c r="AP13" i="12"/>
  <c r="AP21" i="12"/>
  <c r="AP29" i="12"/>
  <c r="AO13" i="12"/>
  <c r="AO21" i="12"/>
  <c r="AO29" i="12"/>
  <c r="AN5" i="12"/>
  <c r="AN13" i="12"/>
  <c r="AN21" i="12"/>
  <c r="AN29" i="12"/>
  <c r="AM5" i="12"/>
  <c r="AM13" i="12"/>
  <c r="AM21" i="12"/>
  <c r="AM29" i="12"/>
  <c r="AL13" i="12"/>
  <c r="AL21" i="12"/>
  <c r="AL29" i="12"/>
  <c r="AK5" i="12"/>
  <c r="AK13" i="12"/>
  <c r="AK21" i="12"/>
  <c r="AK29" i="12"/>
  <c r="AK33" i="12"/>
  <c r="AJ9" i="12"/>
  <c r="AJ13" i="12"/>
  <c r="AJ17" i="12"/>
  <c r="AJ21" i="12"/>
  <c r="AJ25" i="12"/>
  <c r="AJ29" i="12"/>
  <c r="AJ33" i="12"/>
  <c r="AI5" i="12"/>
  <c r="AI13" i="12"/>
  <c r="AI17" i="12"/>
  <c r="AI21" i="12"/>
  <c r="AI25" i="12"/>
  <c r="AI29" i="12"/>
  <c r="AI33" i="12"/>
  <c r="AH5" i="12"/>
  <c r="AH9" i="12"/>
  <c r="AH13" i="12"/>
  <c r="AH17" i="12"/>
  <c r="AH21" i="12"/>
  <c r="AH25" i="12"/>
  <c r="AH29" i="12"/>
  <c r="AH33" i="12"/>
  <c r="AG5" i="12"/>
  <c r="AG9" i="12"/>
  <c r="AG13" i="12"/>
  <c r="AG17" i="12"/>
  <c r="AG21" i="12"/>
  <c r="AG25" i="12"/>
  <c r="AG29" i="12"/>
  <c r="AG33" i="12"/>
  <c r="AF5" i="12"/>
  <c r="AF9" i="12"/>
  <c r="AF13" i="12"/>
  <c r="AF21" i="12"/>
  <c r="AF25" i="12"/>
  <c r="AF29" i="12"/>
  <c r="AF33" i="12"/>
  <c r="AE5" i="12"/>
  <c r="AE9" i="12"/>
  <c r="AE13" i="12"/>
  <c r="AE17" i="12"/>
  <c r="AE21" i="12"/>
  <c r="AE25" i="12"/>
  <c r="AU16" i="12"/>
  <c r="AU32" i="12"/>
  <c r="AT16" i="12"/>
  <c r="AT32" i="12"/>
  <c r="AS16" i="12"/>
  <c r="AS24" i="12"/>
  <c r="AS32" i="12"/>
  <c r="AR12" i="12"/>
  <c r="AR21" i="12"/>
  <c r="AR29" i="12"/>
  <c r="AQ6" i="12"/>
  <c r="AQ14" i="12"/>
  <c r="AQ22" i="12"/>
  <c r="AQ30" i="12"/>
  <c r="AP14" i="12"/>
  <c r="AP22" i="12"/>
  <c r="AP30" i="12"/>
  <c r="AO6" i="12"/>
  <c r="AO14" i="12"/>
  <c r="AO22" i="12"/>
  <c r="AO30" i="12"/>
  <c r="AN14" i="12"/>
  <c r="AN22" i="12"/>
  <c r="AN30" i="12"/>
  <c r="AM6" i="12"/>
  <c r="AM14" i="12"/>
  <c r="AM30" i="12"/>
  <c r="AL14" i="12"/>
  <c r="AL22" i="12"/>
  <c r="AL30" i="12"/>
  <c r="AK6" i="12"/>
  <c r="AK14" i="12"/>
  <c r="AK22" i="12"/>
  <c r="AK30" i="12"/>
  <c r="AJ6" i="12"/>
  <c r="AJ14" i="12"/>
  <c r="AJ18" i="12"/>
  <c r="AJ22" i="12"/>
  <c r="AJ30" i="12"/>
  <c r="AJ34" i="12"/>
  <c r="AI10" i="12"/>
  <c r="AI14" i="12"/>
  <c r="AI18" i="12"/>
  <c r="AI22" i="12"/>
  <c r="AI26" i="12"/>
  <c r="AI30" i="12"/>
  <c r="AI34" i="12"/>
  <c r="AH6" i="12"/>
  <c r="AH10" i="12"/>
  <c r="AH18" i="12"/>
  <c r="AH22" i="12"/>
  <c r="AH26" i="12"/>
  <c r="AH30" i="12"/>
  <c r="AH34" i="12"/>
  <c r="AG6" i="12"/>
  <c r="AG10" i="12"/>
  <c r="AG14" i="12"/>
  <c r="AG18" i="12"/>
  <c r="AG22" i="12"/>
  <c r="AG26" i="12"/>
  <c r="AG30" i="12"/>
  <c r="AG34" i="12"/>
  <c r="AF10" i="12"/>
  <c r="AF14" i="12"/>
  <c r="AF22" i="12"/>
  <c r="AF26" i="12"/>
  <c r="AF30" i="12"/>
  <c r="AU4" i="12"/>
  <c r="AU20" i="12"/>
  <c r="AT4" i="12"/>
  <c r="AT20" i="12"/>
  <c r="AS4" i="12"/>
  <c r="AS19" i="12"/>
  <c r="AS27" i="12"/>
  <c r="AR3" i="12"/>
  <c r="AR16" i="12"/>
  <c r="AR24" i="12"/>
  <c r="AR33" i="12"/>
  <c r="AQ9" i="12"/>
  <c r="AQ17" i="12"/>
  <c r="AQ33" i="12"/>
  <c r="AP9" i="12"/>
  <c r="AP17" i="12"/>
  <c r="AP25" i="12"/>
  <c r="AP33" i="12"/>
  <c r="AO9" i="12"/>
  <c r="AO17" i="12"/>
  <c r="AO25" i="12"/>
  <c r="AO33" i="12"/>
  <c r="AN9" i="12"/>
  <c r="AN17" i="12"/>
  <c r="AN25" i="12"/>
  <c r="AN33" i="12"/>
  <c r="AM9" i="12"/>
  <c r="AM17" i="12"/>
  <c r="AM25" i="12"/>
  <c r="AM33" i="12"/>
  <c r="AL9" i="12"/>
  <c r="AL17" i="12"/>
  <c r="AL25" i="12"/>
  <c r="AL33" i="12"/>
  <c r="AK9" i="12"/>
  <c r="AK17" i="12"/>
  <c r="AK25" i="12"/>
  <c r="AK31" i="12"/>
  <c r="AJ3" i="12"/>
  <c r="AJ15" i="12"/>
  <c r="AJ23" i="12"/>
  <c r="AJ31" i="12"/>
  <c r="AI3" i="12"/>
  <c r="AI11" i="12"/>
  <c r="AI15" i="12"/>
  <c r="AI19" i="12"/>
  <c r="AI23" i="12"/>
  <c r="AI27" i="12"/>
  <c r="AI31" i="12"/>
  <c r="AH3" i="12"/>
  <c r="AH11" i="12"/>
  <c r="AH15" i="12"/>
  <c r="AH19" i="12"/>
  <c r="AH27" i="12"/>
  <c r="AG3" i="12"/>
  <c r="AG7" i="12"/>
  <c r="AG11" i="12"/>
  <c r="AG15" i="12"/>
  <c r="AG19" i="12"/>
  <c r="AG23" i="12"/>
  <c r="AG27" i="12"/>
  <c r="AG31" i="12"/>
  <c r="AF3" i="12"/>
  <c r="AF7" i="12"/>
  <c r="AF11" i="12"/>
  <c r="AF15" i="12"/>
  <c r="AF19" i="12"/>
  <c r="AF23" i="12"/>
  <c r="AF31" i="12"/>
  <c r="AE3" i="12"/>
  <c r="AE7" i="12"/>
  <c r="AE11" i="12"/>
  <c r="AE23" i="12"/>
  <c r="BH39" i="9"/>
  <c r="AH7" i="12" s="1"/>
  <c r="BR39" i="9"/>
  <c r="AJ7" i="12" s="1"/>
  <c r="CG39" i="9"/>
  <c r="AM7" i="12" s="1"/>
  <c r="AN40" i="9"/>
  <c r="AD8" i="12" s="1"/>
  <c r="AX40" i="9"/>
  <c r="AF8" i="12" s="1"/>
  <c r="DP40" i="9"/>
  <c r="AT8" i="12" s="1"/>
  <c r="AD41" i="9"/>
  <c r="AB6" i="12" s="1"/>
  <c r="CV41" i="9"/>
  <c r="AP6" i="12" s="1"/>
  <c r="DF41" i="9"/>
  <c r="AU6" i="12"/>
  <c r="CB42" i="9"/>
  <c r="AL5" i="12" s="1"/>
  <c r="BM43" i="9"/>
  <c r="AI4" i="12" s="1"/>
  <c r="CV43" i="9"/>
  <c r="AP4" i="12" s="1"/>
  <c r="AA19" i="12"/>
  <c r="AA11" i="12"/>
  <c r="AA3" i="12"/>
  <c r="AA31" i="12"/>
  <c r="AA27" i="12"/>
  <c r="AA23" i="12"/>
  <c r="AB33" i="12"/>
  <c r="AB29" i="12"/>
  <c r="AB25" i="12"/>
  <c r="AB21" i="12"/>
  <c r="AB17" i="12"/>
  <c r="AB13" i="12"/>
  <c r="AB9" i="12"/>
  <c r="AC33" i="12"/>
  <c r="AC29" i="12"/>
  <c r="AC21" i="12"/>
  <c r="AC17" i="12"/>
  <c r="AC13" i="12"/>
  <c r="AC9" i="12"/>
  <c r="AC5" i="12"/>
  <c r="AD33" i="12"/>
  <c r="AD29" i="12"/>
  <c r="AD25" i="12"/>
  <c r="AD21" i="12"/>
  <c r="AD17" i="12"/>
  <c r="AD13" i="12"/>
  <c r="AD5" i="12"/>
  <c r="AE33" i="12"/>
  <c r="AE29" i="12"/>
  <c r="AE24" i="12"/>
  <c r="AE16" i="12"/>
  <c r="AE8" i="12"/>
  <c r="AF32" i="12"/>
  <c r="AF16" i="12"/>
  <c r="AG32" i="12"/>
  <c r="AG16" i="12"/>
  <c r="AH32" i="12"/>
  <c r="AH16" i="12"/>
  <c r="AI32" i="12"/>
  <c r="AJ32" i="12"/>
  <c r="AK32" i="12"/>
  <c r="AL34" i="12"/>
  <c r="AM34" i="12"/>
  <c r="AN34" i="12"/>
  <c r="AO34" i="12"/>
  <c r="AQ34" i="12"/>
  <c r="AR34" i="12"/>
  <c r="AS28" i="12"/>
  <c r="M62" i="3"/>
  <c r="DF56" i="9"/>
  <c r="AR14" i="12" s="1"/>
  <c r="DF61" i="9"/>
  <c r="AR4" i="12"/>
  <c r="DF42" i="9"/>
  <c r="DF39" i="9"/>
  <c r="AR7" i="12"/>
  <c r="Q8" i="12"/>
  <c r="M50" i="3"/>
  <c r="Y15" i="12"/>
  <c r="Q3" i="12"/>
  <c r="M71" i="3"/>
  <c r="M67" i="3"/>
  <c r="M55" i="3"/>
  <c r="M51" i="3"/>
  <c r="H3" i="12"/>
  <c r="M3" i="12"/>
  <c r="U3" i="12"/>
  <c r="Q7" i="12"/>
  <c r="X6" i="12"/>
  <c r="L6" i="12"/>
  <c r="Y5" i="12"/>
  <c r="M5" i="12"/>
  <c r="R4" i="12"/>
  <c r="I34" i="12"/>
  <c r="BT34" i="12" s="1"/>
  <c r="S31" i="12"/>
  <c r="H30" i="12"/>
  <c r="V27" i="12"/>
  <c r="M25" i="12"/>
  <c r="L22" i="12"/>
  <c r="H19" i="12"/>
  <c r="Q12" i="12"/>
  <c r="I3" i="12"/>
  <c r="N3" i="12"/>
  <c r="R3" i="12"/>
  <c r="W3" i="12"/>
  <c r="Y7" i="12"/>
  <c r="T7" i="12"/>
  <c r="P7" i="12"/>
  <c r="K7" i="12"/>
  <c r="F7" i="12"/>
  <c r="W6" i="12"/>
  <c r="S6" i="12"/>
  <c r="O6" i="12"/>
  <c r="K6" i="12"/>
  <c r="G6" i="12"/>
  <c r="X5" i="12"/>
  <c r="T5" i="12"/>
  <c r="P5" i="12"/>
  <c r="L5" i="12"/>
  <c r="H5" i="12"/>
  <c r="Y4" i="12"/>
  <c r="CJ4" i="12" s="1"/>
  <c r="U4" i="12"/>
  <c r="Q4" i="12"/>
  <c r="L4" i="12"/>
  <c r="BW4" i="12" s="1"/>
  <c r="U34" i="12"/>
  <c r="Y33" i="12"/>
  <c r="H33" i="12"/>
  <c r="L32" i="12"/>
  <c r="O31" i="12"/>
  <c r="T30" i="12"/>
  <c r="Y29" i="12"/>
  <c r="I29" i="12"/>
  <c r="M28" i="12"/>
  <c r="R27" i="12"/>
  <c r="V26" i="12"/>
  <c r="F26" i="12"/>
  <c r="H25" i="12"/>
  <c r="M24" i="12"/>
  <c r="G23" i="12"/>
  <c r="X21" i="12"/>
  <c r="K20" i="12"/>
  <c r="O18" i="12"/>
  <c r="I15" i="12"/>
  <c r="U11" i="12"/>
  <c r="U7" i="12"/>
  <c r="G7" i="12"/>
  <c r="P6" i="12"/>
  <c r="U5" i="12"/>
  <c r="I5" i="12"/>
  <c r="V4" i="12"/>
  <c r="Y34" i="12"/>
  <c r="P32" i="12"/>
  <c r="X30" i="12"/>
  <c r="Q28" i="12"/>
  <c r="J26" i="12"/>
  <c r="O23" i="12"/>
  <c r="S20" i="12"/>
  <c r="N9" i="12"/>
  <c r="I24" i="12"/>
  <c r="H8" i="12"/>
  <c r="N8" i="12"/>
  <c r="R8" i="12"/>
  <c r="W8" i="12"/>
  <c r="G9" i="12"/>
  <c r="K9" i="12"/>
  <c r="O9" i="12"/>
  <c r="S9" i="12"/>
  <c r="W9" i="12"/>
  <c r="F10" i="12"/>
  <c r="K10" i="12"/>
  <c r="O10" i="12"/>
  <c r="S10" i="12"/>
  <c r="W10" i="12"/>
  <c r="F11" i="12"/>
  <c r="J11" i="12"/>
  <c r="N11" i="12"/>
  <c r="R11" i="12"/>
  <c r="V11" i="12"/>
  <c r="Z11" i="12"/>
  <c r="I12" i="12"/>
  <c r="N12" i="12"/>
  <c r="R12" i="12"/>
  <c r="W12" i="12"/>
  <c r="H13" i="12"/>
  <c r="L13" i="12"/>
  <c r="P13" i="12"/>
  <c r="T13" i="12"/>
  <c r="X13" i="12"/>
  <c r="G14" i="12"/>
  <c r="M14" i="12"/>
  <c r="Q14" i="12"/>
  <c r="U14" i="12"/>
  <c r="Y14" i="12"/>
  <c r="J15" i="12"/>
  <c r="N15" i="12"/>
  <c r="R15" i="12"/>
  <c r="V15" i="12"/>
  <c r="Z15" i="12"/>
  <c r="K16" i="12"/>
  <c r="O16" i="12"/>
  <c r="S16" i="12"/>
  <c r="W16" i="12"/>
  <c r="F17" i="12"/>
  <c r="K17" i="12"/>
  <c r="O17" i="12"/>
  <c r="S17" i="12"/>
  <c r="X17" i="12"/>
  <c r="H18" i="12"/>
  <c r="L18" i="12"/>
  <c r="P18" i="12"/>
  <c r="T18" i="12"/>
  <c r="X18" i="12"/>
  <c r="G19" i="12"/>
  <c r="K19" i="12"/>
  <c r="O19" i="12"/>
  <c r="S19" i="12"/>
  <c r="W19" i="12"/>
  <c r="F20" i="12"/>
  <c r="J20" i="12"/>
  <c r="N20" i="12"/>
  <c r="R20" i="12"/>
  <c r="V20" i="12"/>
  <c r="Z20" i="12"/>
  <c r="K21" i="12"/>
  <c r="O21" i="12"/>
  <c r="S21" i="12"/>
  <c r="W21" i="12"/>
  <c r="G22" i="12"/>
  <c r="K22" i="12"/>
  <c r="I16" i="12"/>
  <c r="I32" i="12"/>
  <c r="J8" i="12"/>
  <c r="O8" i="12"/>
  <c r="S8" i="12"/>
  <c r="X8" i="12"/>
  <c r="H9" i="12"/>
  <c r="L9" i="12"/>
  <c r="P9" i="12"/>
  <c r="T9" i="12"/>
  <c r="X9" i="12"/>
  <c r="G10" i="12"/>
  <c r="L10" i="12"/>
  <c r="P10" i="12"/>
  <c r="T10" i="12"/>
  <c r="X10" i="12"/>
  <c r="G11" i="12"/>
  <c r="K11" i="12"/>
  <c r="O11" i="12"/>
  <c r="S11" i="12"/>
  <c r="W11" i="12"/>
  <c r="F12" i="12"/>
  <c r="J12" i="12"/>
  <c r="O12" i="12"/>
  <c r="S12" i="12"/>
  <c r="X12" i="12"/>
  <c r="I13" i="12"/>
  <c r="M13" i="12"/>
  <c r="Q13" i="12"/>
  <c r="CB13" i="12" s="1"/>
  <c r="U13" i="12"/>
  <c r="Y13" i="12"/>
  <c r="H14" i="12"/>
  <c r="N14" i="12"/>
  <c r="R14" i="12"/>
  <c r="V14" i="12"/>
  <c r="G15" i="12"/>
  <c r="K15" i="12"/>
  <c r="O15" i="12"/>
  <c r="S15" i="12"/>
  <c r="W15" i="12"/>
  <c r="G16" i="12"/>
  <c r="L16" i="12"/>
  <c r="P16" i="12"/>
  <c r="T16" i="12"/>
  <c r="X16" i="12"/>
  <c r="G17" i="12"/>
  <c r="L17" i="12"/>
  <c r="P17" i="12"/>
  <c r="T17" i="12"/>
  <c r="Y17" i="12"/>
  <c r="I18" i="12"/>
  <c r="M18" i="12"/>
  <c r="Q18" i="12"/>
  <c r="U18" i="12"/>
  <c r="Y18" i="12"/>
  <c r="F21" i="12"/>
  <c r="I21" i="12"/>
  <c r="I33" i="12"/>
  <c r="F8" i="12"/>
  <c r="K8" i="12"/>
  <c r="P8" i="12"/>
  <c r="T8" i="12"/>
  <c r="Y8" i="12"/>
  <c r="I9" i="12"/>
  <c r="M9" i="12"/>
  <c r="Q9" i="12"/>
  <c r="U9" i="12"/>
  <c r="Y9" i="12"/>
  <c r="H10" i="12"/>
  <c r="M10" i="12"/>
  <c r="Q10" i="12"/>
  <c r="U10" i="12"/>
  <c r="Y10" i="12"/>
  <c r="H11" i="12"/>
  <c r="L11" i="12"/>
  <c r="P11" i="12"/>
  <c r="T11" i="12"/>
  <c r="X11" i="12"/>
  <c r="G12" i="12"/>
  <c r="K12" i="12"/>
  <c r="P12" i="12"/>
  <c r="T12" i="12"/>
  <c r="Y12" i="12"/>
  <c r="J13" i="12"/>
  <c r="N13" i="12"/>
  <c r="R13" i="12"/>
  <c r="V13" i="12"/>
  <c r="Z13" i="12"/>
  <c r="J14" i="12"/>
  <c r="O14" i="12"/>
  <c r="S14" i="12"/>
  <c r="W14" i="12"/>
  <c r="H15" i="12"/>
  <c r="L15" i="12"/>
  <c r="P15" i="12"/>
  <c r="T15" i="12"/>
  <c r="X15" i="12"/>
  <c r="H16" i="12"/>
  <c r="M16" i="12"/>
  <c r="Q16" i="12"/>
  <c r="U16" i="12"/>
  <c r="Y16" i="12"/>
  <c r="H17" i="12"/>
  <c r="M17" i="12"/>
  <c r="Q17" i="12"/>
  <c r="U17" i="12"/>
  <c r="Z17" i="12"/>
  <c r="J18" i="12"/>
  <c r="N18" i="12"/>
  <c r="R18" i="12"/>
  <c r="V18" i="12"/>
  <c r="Z18" i="12"/>
  <c r="I19" i="12"/>
  <c r="M19" i="12"/>
  <c r="Q19" i="12"/>
  <c r="U19" i="12"/>
  <c r="Y19" i="12"/>
  <c r="H20" i="12"/>
  <c r="L20" i="12"/>
  <c r="P20" i="12"/>
  <c r="T20" i="12"/>
  <c r="X20" i="12"/>
  <c r="H21" i="12"/>
  <c r="M21" i="12"/>
  <c r="Q21" i="12"/>
  <c r="U21" i="12"/>
  <c r="Y21" i="12"/>
  <c r="I22" i="12"/>
  <c r="BT22" i="12" s="1"/>
  <c r="M22" i="12"/>
  <c r="Q22" i="12"/>
  <c r="U22" i="12"/>
  <c r="Y22" i="12"/>
  <c r="H23" i="12"/>
  <c r="N23" i="12"/>
  <c r="R23" i="12"/>
  <c r="W23" i="12"/>
  <c r="H24" i="12"/>
  <c r="BS24" i="12" s="1"/>
  <c r="U8" i="12"/>
  <c r="R9" i="12"/>
  <c r="N10" i="12"/>
  <c r="I11" i="12"/>
  <c r="Y11" i="12"/>
  <c r="U12" i="12"/>
  <c r="S13" i="12"/>
  <c r="P14" i="12"/>
  <c r="M15" i="12"/>
  <c r="J16" i="12"/>
  <c r="Z16" i="12"/>
  <c r="W17" i="12"/>
  <c r="S18" i="12"/>
  <c r="J19" i="12"/>
  <c r="R19" i="12"/>
  <c r="Z19" i="12"/>
  <c r="M20" i="12"/>
  <c r="U20" i="12"/>
  <c r="J21" i="12"/>
  <c r="R21" i="12"/>
  <c r="Z21" i="12"/>
  <c r="N22" i="12"/>
  <c r="S22" i="12"/>
  <c r="X22" i="12"/>
  <c r="J23" i="12"/>
  <c r="P23" i="12"/>
  <c r="U23" i="12"/>
  <c r="J24" i="12"/>
  <c r="N24" i="12"/>
  <c r="R24" i="12"/>
  <c r="V24" i="12"/>
  <c r="Z24" i="12"/>
  <c r="J25" i="12"/>
  <c r="N25" i="12"/>
  <c r="R25" i="12"/>
  <c r="W25" i="12"/>
  <c r="G26" i="12"/>
  <c r="K26" i="12"/>
  <c r="O26" i="12"/>
  <c r="S26" i="12"/>
  <c r="W26" i="12"/>
  <c r="G27" i="12"/>
  <c r="K27" i="12"/>
  <c r="O27" i="12"/>
  <c r="S27" i="12"/>
  <c r="W27" i="12"/>
  <c r="F28" i="12"/>
  <c r="J28" i="12"/>
  <c r="N28" i="12"/>
  <c r="R28" i="12"/>
  <c r="V28" i="12"/>
  <c r="Z28" i="12"/>
  <c r="J29" i="12"/>
  <c r="N29" i="12"/>
  <c r="R29" i="12"/>
  <c r="V29" i="12"/>
  <c r="Z29" i="12"/>
  <c r="I30" i="12"/>
  <c r="M30" i="12"/>
  <c r="Q30" i="12"/>
  <c r="U30" i="12"/>
  <c r="Y30" i="12"/>
  <c r="H31" i="12"/>
  <c r="L31" i="12"/>
  <c r="P31" i="12"/>
  <c r="T31" i="12"/>
  <c r="X31" i="12"/>
  <c r="H32" i="12"/>
  <c r="M32" i="12"/>
  <c r="Q32" i="12"/>
  <c r="U32" i="12"/>
  <c r="Y32" i="12"/>
  <c r="J33" i="12"/>
  <c r="N33" i="12"/>
  <c r="R33" i="12"/>
  <c r="V33" i="12"/>
  <c r="Z33" i="12"/>
  <c r="J34" i="12"/>
  <c r="N34" i="12"/>
  <c r="R34" i="12"/>
  <c r="V34" i="12"/>
  <c r="CG34" i="12" s="1"/>
  <c r="Z34" i="12"/>
  <c r="I4" i="12"/>
  <c r="M4" i="12"/>
  <c r="G8" i="12"/>
  <c r="F9" i="12"/>
  <c r="V9" i="12"/>
  <c r="R10" i="12"/>
  <c r="M11" i="12"/>
  <c r="H12" i="12"/>
  <c r="G13" i="12"/>
  <c r="W13" i="12"/>
  <c r="T14" i="12"/>
  <c r="Q15" i="12"/>
  <c r="N16" i="12"/>
  <c r="J17" i="12"/>
  <c r="G18" i="12"/>
  <c r="W18" i="12"/>
  <c r="L19" i="12"/>
  <c r="T19" i="12"/>
  <c r="G20" i="12"/>
  <c r="O20" i="12"/>
  <c r="W20" i="12"/>
  <c r="L21" i="12"/>
  <c r="T21" i="12"/>
  <c r="H22" i="12"/>
  <c r="O22" i="12"/>
  <c r="T22" i="12"/>
  <c r="Z22" i="12"/>
  <c r="K23" i="12"/>
  <c r="Q23" i="12"/>
  <c r="X23" i="12"/>
  <c r="K24" i="12"/>
  <c r="O24" i="12"/>
  <c r="S24" i="12"/>
  <c r="W24" i="12"/>
  <c r="F25" i="12"/>
  <c r="K25" i="12"/>
  <c r="O25" i="12"/>
  <c r="S25" i="12"/>
  <c r="X25" i="12"/>
  <c r="H26" i="12"/>
  <c r="L26" i="12"/>
  <c r="P26" i="12"/>
  <c r="CA26" i="12" s="1"/>
  <c r="T26" i="12"/>
  <c r="X26" i="12"/>
  <c r="H27" i="12"/>
  <c r="L27" i="12"/>
  <c r="P27" i="12"/>
  <c r="T27" i="12"/>
  <c r="X27" i="12"/>
  <c r="G28" i="12"/>
  <c r="K28" i="12"/>
  <c r="O28" i="12"/>
  <c r="S28" i="12"/>
  <c r="W28" i="12"/>
  <c r="G29" i="12"/>
  <c r="K29" i="12"/>
  <c r="O29" i="12"/>
  <c r="S29" i="12"/>
  <c r="W29" i="12"/>
  <c r="F30" i="12"/>
  <c r="J30" i="12"/>
  <c r="N30" i="12"/>
  <c r="R30" i="12"/>
  <c r="V30" i="12"/>
  <c r="Z30" i="12"/>
  <c r="I31" i="12"/>
  <c r="M31" i="12"/>
  <c r="Q31" i="12"/>
  <c r="U31" i="12"/>
  <c r="Y31" i="12"/>
  <c r="J32" i="12"/>
  <c r="BU32" i="12" s="1"/>
  <c r="N32" i="12"/>
  <c r="R32" i="12"/>
  <c r="V32" i="12"/>
  <c r="Z32" i="12"/>
  <c r="K33" i="12"/>
  <c r="O33" i="12"/>
  <c r="S33" i="12"/>
  <c r="W33" i="12"/>
  <c r="G34" i="12"/>
  <c r="K34" i="12"/>
  <c r="O34" i="12"/>
  <c r="S34" i="12"/>
  <c r="W34" i="12"/>
  <c r="F4" i="12"/>
  <c r="J4" i="12"/>
  <c r="F32" i="12"/>
  <c r="M8" i="12"/>
  <c r="J9" i="12"/>
  <c r="Z9" i="12"/>
  <c r="V10" i="12"/>
  <c r="Q11" i="12"/>
  <c r="M12" i="12"/>
  <c r="K13" i="12"/>
  <c r="F14" i="12"/>
  <c r="X14" i="12"/>
  <c r="U15" i="12"/>
  <c r="R16" i="12"/>
  <c r="N17" i="12"/>
  <c r="K18" i="12"/>
  <c r="F19" i="12"/>
  <c r="N19" i="12"/>
  <c r="V19" i="12"/>
  <c r="I20" i="12"/>
  <c r="Q20" i="12"/>
  <c r="Y20" i="12"/>
  <c r="N21" i="12"/>
  <c r="V21" i="12"/>
  <c r="J22" i="12"/>
  <c r="P22" i="12"/>
  <c r="V22" i="12"/>
  <c r="F23" i="12"/>
  <c r="M23" i="12"/>
  <c r="S23" i="12"/>
  <c r="Y23" i="12"/>
  <c r="L24" i="12"/>
  <c r="P24" i="12"/>
  <c r="T24" i="12"/>
  <c r="X24" i="12"/>
  <c r="G25" i="12"/>
  <c r="L25" i="12"/>
  <c r="P25" i="12"/>
  <c r="T25" i="12"/>
  <c r="Y25" i="12"/>
  <c r="I26" i="12"/>
  <c r="M26" i="12"/>
  <c r="Q26" i="12"/>
  <c r="U26" i="12"/>
  <c r="CF26" i="12" s="1"/>
  <c r="Y26" i="12"/>
  <c r="I27" i="12"/>
  <c r="M27" i="12"/>
  <c r="Q27" i="12"/>
  <c r="U27" i="12"/>
  <c r="Y27" i="12"/>
  <c r="H28" i="12"/>
  <c r="L28" i="12"/>
  <c r="P28" i="12"/>
  <c r="T28" i="12"/>
  <c r="X28" i="12"/>
  <c r="H29" i="12"/>
  <c r="L29" i="12"/>
  <c r="P29" i="12"/>
  <c r="T29" i="12"/>
  <c r="X29" i="12"/>
  <c r="G30" i="12"/>
  <c r="K30" i="12"/>
  <c r="O30" i="12"/>
  <c r="S30" i="12"/>
  <c r="W30" i="12"/>
  <c r="F31" i="12"/>
  <c r="J31" i="12"/>
  <c r="N31" i="12"/>
  <c r="R31" i="12"/>
  <c r="V31" i="12"/>
  <c r="Z31" i="12"/>
  <c r="K32" i="12"/>
  <c r="O32" i="12"/>
  <c r="S32" i="12"/>
  <c r="W32" i="12"/>
  <c r="G33" i="12"/>
  <c r="L33" i="12"/>
  <c r="P33" i="12"/>
  <c r="T33" i="12"/>
  <c r="X33" i="12"/>
  <c r="H34" i="12"/>
  <c r="L34" i="12"/>
  <c r="P34" i="12"/>
  <c r="T34" i="12"/>
  <c r="X34" i="12"/>
  <c r="G4" i="12"/>
  <c r="F3" i="12"/>
  <c r="J3" i="12"/>
  <c r="O3" i="12"/>
  <c r="S3" i="12"/>
  <c r="X3" i="12"/>
  <c r="X7" i="12"/>
  <c r="S7" i="12"/>
  <c r="O7" i="12"/>
  <c r="J7" i="12"/>
  <c r="Z6" i="12"/>
  <c r="V6" i="12"/>
  <c r="CG6" i="12" s="1"/>
  <c r="R6" i="12"/>
  <c r="N6" i="12"/>
  <c r="J6" i="12"/>
  <c r="F6" i="12"/>
  <c r="W5" i="12"/>
  <c r="S5" i="12"/>
  <c r="O5" i="12"/>
  <c r="K5" i="12"/>
  <c r="BV5" i="12" s="1"/>
  <c r="G5" i="12"/>
  <c r="X4" i="12"/>
  <c r="T4" i="12"/>
  <c r="P4" i="12"/>
  <c r="K4" i="12"/>
  <c r="Q34" i="12"/>
  <c r="U33" i="12"/>
  <c r="X32" i="12"/>
  <c r="G32" i="12"/>
  <c r="K31" i="12"/>
  <c r="P30" i="12"/>
  <c r="U29" i="12"/>
  <c r="Y28" i="12"/>
  <c r="I28" i="12"/>
  <c r="N27" i="12"/>
  <c r="R26" i="12"/>
  <c r="U25" i="12"/>
  <c r="Y24" i="12"/>
  <c r="G24" i="12"/>
  <c r="W22" i="12"/>
  <c r="P21" i="12"/>
  <c r="X19" i="12"/>
  <c r="R17" i="12"/>
  <c r="K14" i="12"/>
  <c r="Z10" i="12"/>
  <c r="Z7" i="12"/>
  <c r="M7" i="12"/>
  <c r="T6" i="12"/>
  <c r="H6" i="12"/>
  <c r="Q5" i="12"/>
  <c r="Z4" i="12"/>
  <c r="N4" i="12"/>
  <c r="M33" i="12"/>
  <c r="M29" i="12"/>
  <c r="Z26" i="12"/>
  <c r="Q24" i="12"/>
  <c r="G3" i="12"/>
  <c r="K3" i="12"/>
  <c r="P3" i="12"/>
  <c r="T3" i="12"/>
  <c r="Y3" i="12"/>
  <c r="W7" i="12"/>
  <c r="R7" i="12"/>
  <c r="N7" i="12"/>
  <c r="H7" i="12"/>
  <c r="Y6" i="12"/>
  <c r="U6" i="12"/>
  <c r="Q6" i="12"/>
  <c r="M6" i="12"/>
  <c r="I6" i="12"/>
  <c r="Z5" i="12"/>
  <c r="CK5" i="12" s="1"/>
  <c r="V5" i="12"/>
  <c r="R5" i="12"/>
  <c r="N5" i="12"/>
  <c r="J5" i="12"/>
  <c r="F5" i="12"/>
  <c r="W4" i="12"/>
  <c r="S4" i="12"/>
  <c r="O4" i="12"/>
  <c r="BZ4" i="12" s="1"/>
  <c r="H4" i="12"/>
  <c r="M34" i="12"/>
  <c r="Q33" i="12"/>
  <c r="T32" i="12"/>
  <c r="W31" i="12"/>
  <c r="G31" i="12"/>
  <c r="L30" i="12"/>
  <c r="Q29" i="12"/>
  <c r="U28" i="12"/>
  <c r="Z27" i="12"/>
  <c r="J27" i="12"/>
  <c r="N26" i="12"/>
  <c r="Q25" i="12"/>
  <c r="U24" i="12"/>
  <c r="T23" i="12"/>
  <c r="R22" i="12"/>
  <c r="G21" i="12"/>
  <c r="P19" i="12"/>
  <c r="V16" i="12"/>
  <c r="O13" i="12"/>
  <c r="J10" i="12"/>
  <c r="F34" i="12"/>
  <c r="F27" i="12"/>
  <c r="F22" i="12"/>
  <c r="I8" i="12"/>
  <c r="M52" i="3"/>
  <c r="M56" i="3"/>
  <c r="M60" i="3"/>
  <c r="I17" i="12"/>
  <c r="M68" i="3"/>
  <c r="M72" i="3"/>
  <c r="L3" i="12"/>
  <c r="L8" i="12"/>
  <c r="L7" i="12"/>
  <c r="L12" i="12"/>
  <c r="L14" i="12"/>
  <c r="L23" i="12"/>
  <c r="V3" i="12"/>
  <c r="V8" i="12"/>
  <c r="V7" i="12"/>
  <c r="V12" i="12"/>
  <c r="V17" i="12"/>
  <c r="V23" i="12"/>
  <c r="V25" i="12"/>
  <c r="Z3" i="12"/>
  <c r="Z8" i="12"/>
  <c r="Z12" i="12"/>
  <c r="Z14" i="12"/>
  <c r="Z23" i="12"/>
  <c r="Z25" i="12"/>
  <c r="F33" i="12"/>
  <c r="F24" i="12"/>
  <c r="F15" i="12"/>
  <c r="F16" i="12"/>
  <c r="AS50" i="9"/>
  <c r="AE19" i="12" s="1"/>
  <c r="DA50" i="9"/>
  <c r="AQ19" i="12" s="1"/>
  <c r="Y52" i="9"/>
  <c r="AA15" i="12" s="1"/>
  <c r="Y39" i="9"/>
  <c r="AA7" i="12" s="1"/>
  <c r="I25" i="12"/>
  <c r="I23" i="12"/>
  <c r="M64" i="3"/>
  <c r="M48" i="3"/>
  <c r="I7" i="12"/>
  <c r="I14" i="12"/>
  <c r="M59" i="3"/>
  <c r="M44" i="3"/>
  <c r="F29" i="12"/>
  <c r="F18" i="12"/>
  <c r="F13" i="12"/>
  <c r="M63" i="3"/>
  <c r="I10" i="12"/>
  <c r="M74" i="3"/>
  <c r="M70" i="3"/>
  <c r="M66" i="3"/>
  <c r="M58" i="3"/>
  <c r="M54" i="3"/>
  <c r="H27" i="8" l="1"/>
  <c r="H24" i="8"/>
  <c r="H25" i="8"/>
  <c r="S46" i="9"/>
  <c r="S66" i="9"/>
  <c r="S48" i="9"/>
  <c r="H26" i="8"/>
  <c r="BY8" i="12"/>
  <c r="BX8" i="12"/>
  <c r="H32" i="8"/>
  <c r="S54" i="9"/>
  <c r="S50" i="9"/>
  <c r="S58" i="9"/>
  <c r="S47" i="9"/>
  <c r="S62" i="9"/>
  <c r="S65" i="9"/>
  <c r="S63" i="9"/>
  <c r="S44" i="9"/>
  <c r="H29" i="8"/>
  <c r="H28" i="8"/>
  <c r="S60" i="9"/>
  <c r="S55" i="9"/>
  <c r="S64" i="9"/>
  <c r="S51" i="9"/>
  <c r="S49" i="9"/>
  <c r="S45" i="9"/>
  <c r="BQ28" i="12"/>
  <c r="CL28" i="12" s="1"/>
  <c r="DG28" i="12" s="1"/>
  <c r="H36" i="8"/>
  <c r="CJ21" i="12"/>
  <c r="CJ24" i="12"/>
  <c r="BV28" i="12"/>
  <c r="CC5" i="12"/>
  <c r="CG20" i="12"/>
  <c r="H31" i="8"/>
  <c r="H33" i="8"/>
  <c r="BS32" i="12"/>
  <c r="BT16" i="12"/>
  <c r="BX28" i="12"/>
  <c r="CH30" i="12"/>
  <c r="CK17" i="12"/>
  <c r="BW8" i="12"/>
  <c r="CC17" i="12"/>
  <c r="BZ11" i="12"/>
  <c r="CD32" i="12"/>
  <c r="CH25" i="12"/>
  <c r="CG3" i="12"/>
  <c r="BQ34" i="12"/>
  <c r="CL34" i="12" s="1"/>
  <c r="DG34" i="12" s="1"/>
  <c r="BR3" i="12"/>
  <c r="CJ27" i="12"/>
  <c r="CC16" i="12"/>
  <c r="BU4" i="12"/>
  <c r="BR28" i="12"/>
  <c r="BT19" i="12"/>
  <c r="CE11" i="12"/>
  <c r="BT5" i="12"/>
  <c r="CK4" i="12"/>
  <c r="BQ32" i="12"/>
  <c r="CL32" i="12" s="1"/>
  <c r="DG32" i="12" s="1"/>
  <c r="BX32" i="12"/>
  <c r="BX20" i="12"/>
  <c r="BQ16" i="12"/>
  <c r="CL16" i="12" s="1"/>
  <c r="CK27" i="12"/>
  <c r="CC21" i="12"/>
  <c r="CA14" i="12"/>
  <c r="CF16" i="12"/>
  <c r="BS10" i="12"/>
  <c r="CA8" i="12"/>
  <c r="CA18" i="12"/>
  <c r="CC26" i="12"/>
  <c r="CJ9" i="12"/>
  <c r="BR14" i="12"/>
  <c r="BQ22" i="12"/>
  <c r="CL22" i="12" s="1"/>
  <c r="DG22" i="12" s="1"/>
  <c r="BY31" i="12"/>
  <c r="BR25" i="12"/>
  <c r="BW24" i="12"/>
  <c r="CH27" i="12"/>
  <c r="CF20" i="12"/>
  <c r="CD14" i="12"/>
  <c r="BS9" i="12"/>
  <c r="BV21" i="12"/>
  <c r="BX5" i="12"/>
  <c r="BQ29" i="12"/>
  <c r="CL29" i="12" s="1"/>
  <c r="DG29" i="12" s="1"/>
  <c r="BY21" i="12"/>
  <c r="CJ16" i="12"/>
  <c r="BS11" i="12"/>
  <c r="BW7" i="12"/>
  <c r="BT27" i="12"/>
  <c r="BW21" i="12"/>
  <c r="CE19" i="12"/>
  <c r="BT11" i="12"/>
  <c r="BX22" i="12"/>
  <c r="CJ19" i="12"/>
  <c r="CG11" i="12"/>
  <c r="CC8" i="12"/>
  <c r="CI3" i="12"/>
  <c r="S59" i="9"/>
  <c r="BY15" i="12"/>
  <c r="AI20" i="12"/>
  <c r="BY20" i="12" s="1"/>
  <c r="AH24" i="12"/>
  <c r="BX24" i="12" s="1"/>
  <c r="S57" i="9"/>
  <c r="CD4" i="12"/>
  <c r="CI4" i="12"/>
  <c r="BV24" i="12"/>
  <c r="CG17" i="12"/>
  <c r="BR31" i="12"/>
  <c r="BX34" i="12"/>
  <c r="CJ3" i="12"/>
  <c r="BR32" i="12"/>
  <c r="CA33" i="12"/>
  <c r="BQ31" i="12"/>
  <c r="CL31" i="12" s="1"/>
  <c r="DG31" i="12" s="1"/>
  <c r="BV30" i="12"/>
  <c r="CA29" i="12"/>
  <c r="CD23" i="12"/>
  <c r="BZ34" i="12"/>
  <c r="CG32" i="12"/>
  <c r="BT31" i="12"/>
  <c r="BY30" i="12"/>
  <c r="CD29" i="12"/>
  <c r="CH28" i="12"/>
  <c r="CI23" i="12"/>
  <c r="BU17" i="12"/>
  <c r="BW31" i="12"/>
  <c r="CB30" i="12"/>
  <c r="CG29" i="12"/>
  <c r="CK28" i="12"/>
  <c r="CD26" i="12"/>
  <c r="CK24" i="12"/>
  <c r="CE20" i="12"/>
  <c r="CB17" i="12"/>
  <c r="BU14" i="12"/>
  <c r="CI16" i="12"/>
  <c r="BV15" i="12"/>
  <c r="BY14" i="12"/>
  <c r="CA9" i="12"/>
  <c r="BQ20" i="12"/>
  <c r="CL20" i="12" s="1"/>
  <c r="DG20" i="12" s="1"/>
  <c r="BZ18" i="12"/>
  <c r="CE30" i="12"/>
  <c r="CA5" i="12"/>
  <c r="CJ7" i="12"/>
  <c r="S41" i="9"/>
  <c r="S56" i="9"/>
  <c r="AR5" i="12"/>
  <c r="CH5" i="12" s="1"/>
  <c r="AJ19" i="12"/>
  <c r="BZ19" i="12" s="1"/>
  <c r="AR13" i="12"/>
  <c r="CH13" i="12" s="1"/>
  <c r="CG23" i="12"/>
  <c r="CE23" i="12"/>
  <c r="CJ6" i="12"/>
  <c r="BQ17" i="12"/>
  <c r="CL17" i="12" s="1"/>
  <c r="DG17" i="12" s="1"/>
  <c r="CB4" i="12"/>
  <c r="S52" i="9"/>
  <c r="CE6" i="12"/>
  <c r="CA4" i="12"/>
  <c r="CD7" i="12"/>
  <c r="CB20" i="12"/>
  <c r="BV34" i="12"/>
  <c r="BT4" i="12"/>
  <c r="CJ22" i="12"/>
  <c r="CA20" i="12"/>
  <c r="BX18" i="12"/>
  <c r="BZ8" i="12"/>
  <c r="CC20" i="12"/>
  <c r="BW18" i="12"/>
  <c r="CD20" i="12"/>
  <c r="AR9" i="12"/>
  <c r="CH9" i="12" s="1"/>
  <c r="S40" i="9"/>
  <c r="CJ14" i="12"/>
  <c r="CB8" i="12"/>
  <c r="CE5" i="12"/>
  <c r="CD3" i="12"/>
  <c r="CG27" i="12"/>
  <c r="CH10" i="12"/>
  <c r="CD17" i="12"/>
  <c r="CF28" i="12"/>
  <c r="CF29" i="12"/>
  <c r="CC19" i="12"/>
  <c r="BV12" i="12"/>
  <c r="BZ21" i="12"/>
  <c r="CF7" i="12"/>
  <c r="BV7" i="12"/>
  <c r="CD22" i="12"/>
  <c r="BU15" i="12"/>
  <c r="CI32" i="12"/>
  <c r="CJ26" i="12"/>
  <c r="BY34" i="12"/>
  <c r="CF23" i="12"/>
  <c r="CB12" i="12"/>
  <c r="BZ5" i="12"/>
  <c r="CC15" i="12"/>
  <c r="H30" i="8"/>
  <c r="BS15" i="12"/>
  <c r="CE17" i="12"/>
  <c r="CJ33" i="12"/>
  <c r="BW6" i="12"/>
  <c r="BQ18" i="12"/>
  <c r="CL18" i="12" s="1"/>
  <c r="DG18" i="12" s="1"/>
  <c r="CC31" i="12"/>
  <c r="BT26" i="12"/>
  <c r="CC33" i="12"/>
  <c r="BY10" i="12"/>
  <c r="CI10" i="12"/>
  <c r="BY12" i="12"/>
  <c r="BZ31" i="12"/>
  <c r="CH14" i="12"/>
  <c r="H23" i="8"/>
  <c r="H35" i="8"/>
  <c r="BU5" i="12"/>
  <c r="BU6" i="12"/>
  <c r="CB27" i="12"/>
  <c r="CH34" i="12"/>
  <c r="CE27" i="12"/>
  <c r="CI26" i="12"/>
  <c r="BX16" i="12"/>
  <c r="CF14" i="12"/>
  <c r="BR9" i="12"/>
  <c r="AV19" i="12"/>
  <c r="BQ33" i="12"/>
  <c r="CL33" i="12" s="1"/>
  <c r="DG33" i="12" s="1"/>
  <c r="BU27" i="12"/>
  <c r="BY5" i="12"/>
  <c r="CK7" i="12"/>
  <c r="BT28" i="12"/>
  <c r="CA34" i="12"/>
  <c r="BR29" i="12"/>
  <c r="CK22" i="12"/>
  <c r="BR20" i="12"/>
  <c r="BU29" i="12"/>
  <c r="CD18" i="12"/>
  <c r="CF17" i="12"/>
  <c r="CI17" i="12"/>
  <c r="CA6" i="12"/>
  <c r="CG26" i="12"/>
  <c r="BW5" i="12"/>
  <c r="AW10" i="12"/>
  <c r="BR10" i="12" s="1"/>
  <c r="H34" i="8"/>
  <c r="CI33" i="12"/>
  <c r="BQ13" i="12"/>
  <c r="CL13" i="12" s="1"/>
  <c r="CG7" i="12"/>
  <c r="BT14" i="12"/>
  <c r="BW12" i="12"/>
  <c r="CE29" i="12"/>
  <c r="CJ23" i="12"/>
  <c r="CG10" i="12"/>
  <c r="CK33" i="12"/>
  <c r="CI20" i="12"/>
  <c r="BS20" i="12"/>
  <c r="BS16" i="12"/>
  <c r="CJ17" i="12"/>
  <c r="BT32" i="12"/>
  <c r="BU20" i="12"/>
  <c r="BU26" i="12"/>
  <c r="BT15" i="12"/>
  <c r="CE7" i="12"/>
  <c r="BT10" i="12"/>
  <c r="CF24" i="12"/>
  <c r="BX6" i="12"/>
  <c r="BW34" i="12"/>
  <c r="BV13" i="12"/>
  <c r="CH17" i="12"/>
  <c r="CH16" i="12"/>
  <c r="BX14" i="12"/>
  <c r="CK10" i="12"/>
  <c r="BR4" i="12"/>
  <c r="CE24" i="12"/>
  <c r="CJ20" i="12"/>
  <c r="BR16" i="12"/>
  <c r="CA13" i="12"/>
  <c r="CC27" i="12"/>
  <c r="BQ15" i="12"/>
  <c r="CL15" i="12" s="1"/>
  <c r="DG15" i="12" s="1"/>
  <c r="CK23" i="12"/>
  <c r="BW23" i="12"/>
  <c r="BR21" i="12"/>
  <c r="CH31" i="12"/>
  <c r="BS4" i="12"/>
  <c r="CB6" i="12"/>
  <c r="CH22" i="12"/>
  <c r="BZ32" i="12"/>
  <c r="BR30" i="12"/>
  <c r="CA28" i="12"/>
  <c r="BX23" i="12"/>
  <c r="CF15" i="12"/>
  <c r="CF31" i="12"/>
  <c r="CK30" i="12"/>
  <c r="BU30" i="12"/>
  <c r="CD28" i="12"/>
  <c r="CI27" i="12"/>
  <c r="BS27" i="12"/>
  <c r="BW26" i="12"/>
  <c r="BR13" i="12"/>
  <c r="BS31" i="12"/>
  <c r="CC29" i="12"/>
  <c r="BZ26" i="12"/>
  <c r="BU21" i="12"/>
  <c r="CD13" i="12"/>
  <c r="BX21" i="12"/>
  <c r="BU18" i="12"/>
  <c r="CE15" i="12"/>
  <c r="CA17" i="12"/>
  <c r="BR15" i="12"/>
  <c r="BS14" i="12"/>
  <c r="CH19" i="12"/>
  <c r="CG15" i="12"/>
  <c r="CI30" i="12"/>
  <c r="BV20" i="12"/>
  <c r="CC4" i="12"/>
  <c r="CI6" i="12"/>
  <c r="AV4" i="12"/>
  <c r="BQ4" i="12" s="1"/>
  <c r="CL4" i="12" s="1"/>
  <c r="DG4" i="12" s="1"/>
  <c r="BX33" i="12"/>
  <c r="CF25" i="12"/>
  <c r="CC6" i="12"/>
  <c r="CH24" i="12"/>
  <c r="CC10" i="12"/>
  <c r="BZ27" i="12"/>
  <c r="CI22" i="12"/>
  <c r="CK19" i="12"/>
  <c r="BY18" i="12"/>
  <c r="BY13" i="12"/>
  <c r="CJ10" i="12"/>
  <c r="BR11" i="12"/>
  <c r="CD8" i="12"/>
  <c r="CD21" i="12"/>
  <c r="CG25" i="12"/>
  <c r="CK26" i="12"/>
  <c r="BR24" i="12"/>
  <c r="CE4" i="12"/>
  <c r="CI7" i="12"/>
  <c r="BS29" i="12"/>
  <c r="BT20" i="12"/>
  <c r="BV18" i="12"/>
  <c r="CB11" i="12"/>
  <c r="BR34" i="12"/>
  <c r="CM34" i="12" s="1"/>
  <c r="CB31" i="12"/>
  <c r="BS26" i="12"/>
  <c r="BV23" i="12"/>
  <c r="BZ20" i="12"/>
  <c r="CB15" i="12"/>
  <c r="BT30" i="12"/>
  <c r="BR27" i="12"/>
  <c r="BY22" i="12"/>
  <c r="CA15" i="12"/>
  <c r="BR12" i="12"/>
  <c r="BZ16" i="12"/>
  <c r="BT12" i="12"/>
  <c r="CD10" i="12"/>
  <c r="CD6" i="12"/>
  <c r="BS30" i="12"/>
  <c r="AV6" i="12"/>
  <c r="BQ6" i="12" s="1"/>
  <c r="CL6" i="12" s="1"/>
  <c r="DG6" i="12" s="1"/>
  <c r="BU7" i="12"/>
  <c r="BU23" i="12"/>
  <c r="BZ15" i="12"/>
  <c r="CA25" i="12"/>
  <c r="BY19" i="12"/>
  <c r="CD25" i="12"/>
  <c r="BU24" i="12"/>
  <c r="BV6" i="12"/>
  <c r="BX3" i="12"/>
  <c r="BT23" i="12"/>
  <c r="BV32" i="12"/>
  <c r="BT13" i="12"/>
  <c r="BS13" i="12"/>
  <c r="BT29" i="12"/>
  <c r="BS7" i="12"/>
  <c r="CC34" i="12"/>
  <c r="BV19" i="12"/>
  <c r="CC22" i="12"/>
  <c r="CE34" i="12"/>
  <c r="BQ23" i="12"/>
  <c r="CL23" i="12" s="1"/>
  <c r="DG23" i="12" s="1"/>
  <c r="BV25" i="12"/>
  <c r="BS22" i="12"/>
  <c r="BQ9" i="12"/>
  <c r="CL9" i="12" s="1"/>
  <c r="CE31" i="12"/>
  <c r="CJ30" i="12"/>
  <c r="CC28" i="12"/>
  <c r="BV26" i="12"/>
  <c r="BY25" i="12"/>
  <c r="BU16" i="12"/>
  <c r="CF12" i="12"/>
  <c r="CF22" i="12"/>
  <c r="BS21" i="12"/>
  <c r="CB19" i="12"/>
  <c r="CG13" i="12"/>
  <c r="BW11" i="12"/>
  <c r="CD15" i="12"/>
  <c r="CG14" i="12"/>
  <c r="BU12" i="12"/>
  <c r="CE10" i="12"/>
  <c r="CI9" i="12"/>
  <c r="BS8" i="12"/>
  <c r="CA32" i="12"/>
  <c r="BW32" i="12"/>
  <c r="BS5" i="12"/>
  <c r="CB3" i="12"/>
  <c r="CK14" i="12"/>
  <c r="BY26" i="12"/>
  <c r="CA3" i="12"/>
  <c r="CF33" i="12"/>
  <c r="CJ25" i="12"/>
  <c r="CI14" i="12"/>
  <c r="BY32" i="12"/>
  <c r="CB33" i="12"/>
  <c r="BT6" i="12"/>
  <c r="CE33" i="12"/>
  <c r="CK31" i="12"/>
  <c r="CI28" i="12"/>
  <c r="BS28" i="12"/>
  <c r="BQ14" i="12"/>
  <c r="CL14" i="12" s="1"/>
  <c r="DG14" i="12" s="1"/>
  <c r="CH33" i="12"/>
  <c r="CI25" i="12"/>
  <c r="BQ25" i="12"/>
  <c r="CL25" i="12" s="1"/>
  <c r="DG25" i="12" s="1"/>
  <c r="CA31" i="12"/>
  <c r="BR26" i="12"/>
  <c r="BY23" i="12"/>
  <c r="CB22" i="12"/>
  <c r="CC13" i="12"/>
  <c r="CE12" i="12"/>
  <c r="BX10" i="12"/>
  <c r="CF18" i="12"/>
  <c r="CF13" i="12"/>
  <c r="BQ12" i="12"/>
  <c r="CL12" i="12" s="1"/>
  <c r="DG12" i="12" s="1"/>
  <c r="CE13" i="12"/>
  <c r="BZ10" i="12"/>
  <c r="BR23" i="12"/>
  <c r="CD31" i="12"/>
  <c r="CJ15" i="12"/>
  <c r="CK25" i="12"/>
  <c r="CA19" i="12"/>
  <c r="BS6" i="12"/>
  <c r="CA21" i="12"/>
  <c r="CJ28" i="12"/>
  <c r="BV4" i="12"/>
  <c r="BR5" i="12"/>
  <c r="CG31" i="12"/>
  <c r="CE28" i="12"/>
  <c r="BX26" i="12"/>
  <c r="CA22" i="12"/>
  <c r="CK9" i="12"/>
  <c r="CD33" i="12"/>
  <c r="CJ31" i="12"/>
  <c r="BW27" i="12"/>
  <c r="CE22" i="12"/>
  <c r="BX4" i="12"/>
  <c r="CG33" i="12"/>
  <c r="CJ32" i="12"/>
  <c r="BU28" i="12"/>
  <c r="BS23" i="12"/>
  <c r="CB21" i="12"/>
  <c r="CI15" i="12"/>
  <c r="CA12" i="12"/>
  <c r="BX9" i="12"/>
  <c r="BT21" i="12"/>
  <c r="CB18" i="12"/>
  <c r="CD12" i="12"/>
  <c r="CH11" i="12"/>
  <c r="BW10" i="12"/>
  <c r="CK15" i="12"/>
  <c r="CC12" i="12"/>
  <c r="BQ11" i="12"/>
  <c r="CL11" i="12" s="1"/>
  <c r="BV10" i="12"/>
  <c r="BZ9" i="12"/>
  <c r="BY9" i="12"/>
  <c r="CB28" i="12"/>
  <c r="BR7" i="12"/>
  <c r="BT3" i="12"/>
  <c r="BX25" i="12"/>
  <c r="CK3" i="12"/>
  <c r="CG12" i="12"/>
  <c r="CE3" i="12"/>
  <c r="BW29" i="12"/>
  <c r="BZ29" i="12"/>
  <c r="CB23" i="12"/>
  <c r="CG28" i="12"/>
  <c r="CK16" i="12"/>
  <c r="CF19" i="12"/>
  <c r="CK13" i="12"/>
  <c r="BU13" i="12"/>
  <c r="CF10" i="12"/>
  <c r="BX13" i="12"/>
  <c r="BW13" i="12"/>
  <c r="BQ24" i="12"/>
  <c r="CL24" i="12" s="1"/>
  <c r="DG24" i="12" s="1"/>
  <c r="BZ13" i="12"/>
  <c r="CE32" i="12"/>
  <c r="CG21" i="12"/>
  <c r="BQ30" i="12"/>
  <c r="CL30" i="12" s="1"/>
  <c r="DG30" i="12" s="1"/>
  <c r="BV29" i="12"/>
  <c r="BZ28" i="12"/>
  <c r="BZ24" i="12"/>
  <c r="CH18" i="12"/>
  <c r="BS12" i="12"/>
  <c r="BU34" i="12"/>
  <c r="CB32" i="12"/>
  <c r="BY29" i="12"/>
  <c r="CA23" i="12"/>
  <c r="CC23" i="12"/>
  <c r="BW20" i="12"/>
  <c r="CG18" i="12"/>
  <c r="CB10" i="12"/>
  <c r="BQ8" i="12"/>
  <c r="CL8" i="12" s="1"/>
  <c r="DG8" i="12" s="1"/>
  <c r="BT18" i="12"/>
  <c r="CA16" i="12"/>
  <c r="CJ13" i="12"/>
  <c r="BR22" i="12"/>
  <c r="CD19" i="12"/>
  <c r="BS18" i="12"/>
  <c r="CI13" i="12"/>
  <c r="BY11" i="12"/>
  <c r="BZ23" i="12"/>
  <c r="BQ26" i="12"/>
  <c r="CL26" i="12" s="1"/>
  <c r="DG26" i="12" s="1"/>
  <c r="CA7" i="12"/>
  <c r="CC3" i="12"/>
  <c r="BS19" i="12"/>
  <c r="CB7" i="12"/>
  <c r="CB29" i="12"/>
  <c r="BY27" i="12"/>
  <c r="CI29" i="12"/>
  <c r="BW28" i="12"/>
  <c r="BX29" i="12"/>
  <c r="BV31" i="12"/>
  <c r="BU31" i="12"/>
  <c r="CG22" i="12"/>
  <c r="CG19" i="12"/>
  <c r="BX31" i="12"/>
  <c r="CK29" i="12"/>
  <c r="BY28" i="12"/>
  <c r="BX15" i="12"/>
  <c r="CC18" i="12"/>
  <c r="BW15" i="12"/>
  <c r="CH21" i="12"/>
  <c r="BT24" i="12"/>
  <c r="CJ29" i="12"/>
  <c r="CF3" i="12"/>
  <c r="CF4" i="12"/>
  <c r="BZ7" i="12"/>
  <c r="CG4" i="12"/>
  <c r="S43" i="9"/>
  <c r="BT17" i="12"/>
  <c r="BT8" i="12"/>
  <c r="BU10" i="12"/>
  <c r="CB25" i="12"/>
  <c r="BQ5" i="12"/>
  <c r="CL5" i="12" s="1"/>
  <c r="DG5" i="12" s="1"/>
  <c r="CG5" i="12"/>
  <c r="BY7" i="12"/>
  <c r="CB24" i="12"/>
  <c r="BY4" i="12"/>
  <c r="BV14" i="12"/>
  <c r="BZ3" i="12"/>
  <c r="CI34" i="12"/>
  <c r="BS34" i="12"/>
  <c r="BW33" i="12"/>
  <c r="CF27" i="12"/>
  <c r="BW25" i="12"/>
  <c r="CA24" i="12"/>
  <c r="BU22" i="12"/>
  <c r="BQ19" i="12"/>
  <c r="CL19" i="12" s="1"/>
  <c r="BX12" i="12"/>
  <c r="BU9" i="12"/>
  <c r="BZ33" i="12"/>
  <c r="CC32" i="12"/>
  <c r="BZ25" i="12"/>
  <c r="CD24" i="12"/>
  <c r="BZ22" i="12"/>
  <c r="CH20" i="12"/>
  <c r="BW19" i="12"/>
  <c r="BY16" i="12"/>
  <c r="CG9" i="12"/>
  <c r="CF32" i="12"/>
  <c r="CI31" i="12"/>
  <c r="BX30" i="12"/>
  <c r="BV27" i="12"/>
  <c r="CC25" i="12"/>
  <c r="CG24" i="12"/>
  <c r="CH23" i="12"/>
  <c r="CK18" i="12"/>
  <c r="BX17" i="12"/>
  <c r="CB16" i="12"/>
  <c r="CA11" i="12"/>
  <c r="BT9" i="12"/>
  <c r="BV8" i="12"/>
  <c r="BQ21" i="12"/>
  <c r="CL21" i="12" s="1"/>
  <c r="DG21" i="12" s="1"/>
  <c r="CE16" i="12"/>
  <c r="CH15" i="12"/>
  <c r="BZ12" i="12"/>
  <c r="CD11" i="12"/>
  <c r="BW9" i="12"/>
  <c r="BV22" i="12"/>
  <c r="BR19" i="12"/>
  <c r="BZ17" i="12"/>
  <c r="CD16" i="12"/>
  <c r="CC11" i="12"/>
  <c r="BQ10" i="12"/>
  <c r="CL10" i="12" s="1"/>
  <c r="DG10" i="12" s="1"/>
  <c r="BV9" i="12"/>
  <c r="BS25" i="12"/>
  <c r="CF34" i="12"/>
  <c r="BZ6" i="12"/>
  <c r="CH3" i="12"/>
  <c r="BS3" i="12"/>
  <c r="AB8" i="12"/>
  <c r="BR8" i="12" s="1"/>
  <c r="CF6" i="12"/>
  <c r="CA30" i="12"/>
  <c r="BR33" i="12"/>
  <c r="BV33" i="12"/>
  <c r="CG30" i="12"/>
  <c r="CK34" i="12"/>
  <c r="BY33" i="12"/>
  <c r="CC9" i="12"/>
  <c r="CI18" i="12"/>
  <c r="BV17" i="12"/>
  <c r="CF5" i="12"/>
  <c r="CF11" i="12"/>
  <c r="CI21" i="12"/>
  <c r="CK8" i="12"/>
  <c r="BQ7" i="12"/>
  <c r="CL7" i="12" s="1"/>
  <c r="BW14" i="12"/>
  <c r="BW3" i="12"/>
  <c r="CC7" i="12"/>
  <c r="BX7" i="12"/>
  <c r="CK6" i="12"/>
  <c r="BU3" i="12"/>
  <c r="CD30" i="12"/>
  <c r="CC24" i="12"/>
  <c r="BU19" i="12"/>
  <c r="BS17" i="12"/>
  <c r="CJ12" i="12"/>
  <c r="CF9" i="12"/>
  <c r="CJ8" i="12"/>
  <c r="CJ18" i="12"/>
  <c r="BW17" i="12"/>
  <c r="BU8" i="12"/>
  <c r="CI5" i="12"/>
  <c r="BT7" i="12"/>
  <c r="BT25" i="12"/>
  <c r="CK12" i="12"/>
  <c r="CG8" i="12"/>
  <c r="BQ27" i="12"/>
  <c r="CL27" i="12" s="1"/>
  <c r="CG16" i="12"/>
  <c r="BW30" i="12"/>
  <c r="BV3" i="12"/>
  <c r="CB5" i="12"/>
  <c r="CI19" i="12"/>
  <c r="CB34" i="12"/>
  <c r="CD5" i="12"/>
  <c r="BY6" i="12"/>
  <c r="BQ3" i="12"/>
  <c r="CL3" i="12" s="1"/>
  <c r="DG3" i="12" s="1"/>
  <c r="BZ30" i="12"/>
  <c r="BX27" i="12"/>
  <c r="CB26" i="12"/>
  <c r="CE25" i="12"/>
  <c r="CI24" i="12"/>
  <c r="BY17" i="12"/>
  <c r="CD34" i="12"/>
  <c r="CK32" i="12"/>
  <c r="CC30" i="12"/>
  <c r="CH29" i="12"/>
  <c r="CA27" i="12"/>
  <c r="CE26" i="12"/>
  <c r="CE21" i="12"/>
  <c r="BR18" i="12"/>
  <c r="CE14" i="12"/>
  <c r="BX11" i="12"/>
  <c r="BU33" i="12"/>
  <c r="CF30" i="12"/>
  <c r="CD27" i="12"/>
  <c r="CH26" i="12"/>
  <c r="BU25" i="12"/>
  <c r="BY24" i="12"/>
  <c r="CK21" i="12"/>
  <c r="CJ11" i="12"/>
  <c r="CF8" i="12"/>
  <c r="CF21" i="12"/>
  <c r="BX19" i="12"/>
  <c r="BZ14" i="12"/>
  <c r="CI11" i="12"/>
  <c r="CB9" i="12"/>
  <c r="CE8" i="12"/>
  <c r="BT33" i="12"/>
  <c r="BR17" i="12"/>
  <c r="BW16" i="12"/>
  <c r="CC14" i="12"/>
  <c r="CI12" i="12"/>
  <c r="BV11" i="12"/>
  <c r="CA10" i="12"/>
  <c r="CE9" i="12"/>
  <c r="CI8" i="12"/>
  <c r="CK20" i="12"/>
  <c r="CE18" i="12"/>
  <c r="BV16" i="12"/>
  <c r="CB14" i="12"/>
  <c r="CH12" i="12"/>
  <c r="CK11" i="12"/>
  <c r="BU11" i="12"/>
  <c r="CD9" i="12"/>
  <c r="CH8" i="12"/>
  <c r="CJ34" i="12"/>
  <c r="BS33" i="12"/>
  <c r="BR6" i="12"/>
  <c r="BY3" i="12"/>
  <c r="BW22" i="12"/>
  <c r="CJ5" i="12"/>
  <c r="S39" i="9"/>
  <c r="CH4" i="12"/>
  <c r="S61" i="9"/>
  <c r="AR32" i="12"/>
  <c r="CH32" i="12" s="1"/>
  <c r="CH7" i="12"/>
  <c r="AR6" i="12"/>
  <c r="CH6" i="12" s="1"/>
  <c r="S42" i="9"/>
  <c r="CM28" i="12"/>
  <c r="DH28" i="12" s="1"/>
  <c r="DG16" i="12"/>
  <c r="B4" i="12"/>
  <c r="B5" i="12" s="1"/>
  <c r="B6" i="12" s="1"/>
  <c r="B7" i="12" s="1"/>
  <c r="B8" i="12" s="1"/>
  <c r="B9" i="12" s="1"/>
  <c r="B10" i="12" s="1"/>
  <c r="B11" i="12" s="1"/>
  <c r="B12" i="12" s="1"/>
  <c r="B13" i="12" s="1"/>
  <c r="B14" i="12" s="1"/>
  <c r="B15" i="12" s="1"/>
  <c r="B16" i="12" s="1"/>
  <c r="B17" i="12" s="1"/>
  <c r="B18" i="12" s="1"/>
  <c r="B19" i="12" s="1"/>
  <c r="B20" i="12" s="1"/>
  <c r="B21" i="12" s="1"/>
  <c r="B22" i="12" s="1"/>
  <c r="B23" i="12" s="1"/>
  <c r="B24" i="12" s="1"/>
  <c r="B25" i="12" s="1"/>
  <c r="B26" i="12" s="1"/>
  <c r="B27" i="12" s="1"/>
  <c r="B28" i="12" s="1"/>
  <c r="B29" i="12" s="1"/>
  <c r="B30" i="12" s="1"/>
  <c r="B31" i="12" s="1"/>
  <c r="B32" i="12" s="1"/>
  <c r="B33" i="12" s="1"/>
  <c r="B34" i="12" s="1"/>
  <c r="CM27" i="12" l="1"/>
  <c r="DH27" i="12" s="1"/>
  <c r="CM7" i="12"/>
  <c r="DH7" i="12" s="1"/>
  <c r="CM29" i="12"/>
  <c r="CM32" i="12"/>
  <c r="CN32" i="12" s="1"/>
  <c r="CM22" i="12"/>
  <c r="DH22" i="12" s="1"/>
  <c r="CM16" i="12"/>
  <c r="DH16" i="12" s="1"/>
  <c r="CM31" i="12"/>
  <c r="DH31" i="12" s="1"/>
  <c r="CM18" i="12"/>
  <c r="DH18" i="12" s="1"/>
  <c r="CM20" i="12"/>
  <c r="CN20" i="12" s="1"/>
  <c r="CO20" i="12" s="1"/>
  <c r="CM17" i="12"/>
  <c r="DH17" i="12" s="1"/>
  <c r="CM33" i="12"/>
  <c r="CM15" i="12"/>
  <c r="DH15" i="12" s="1"/>
  <c r="CM9" i="12"/>
  <c r="DH9" i="12" s="1"/>
  <c r="CM13" i="12"/>
  <c r="DH13" i="12" s="1"/>
  <c r="DG13" i="12"/>
  <c r="CM24" i="12"/>
  <c r="DH24" i="12" s="1"/>
  <c r="CM6" i="12"/>
  <c r="CN6" i="12" s="1"/>
  <c r="CO6" i="12" s="1"/>
  <c r="CM11" i="12"/>
  <c r="DH11" i="12" s="1"/>
  <c r="CM30" i="12"/>
  <c r="DH30" i="12" s="1"/>
  <c r="CM25" i="12"/>
  <c r="DH25" i="12" s="1"/>
  <c r="CM23" i="12"/>
  <c r="DH23" i="12" s="1"/>
  <c r="CM19" i="12"/>
  <c r="CN19" i="12" s="1"/>
  <c r="CM14" i="12"/>
  <c r="DH14" i="12" s="1"/>
  <c r="DG27" i="12"/>
  <c r="CM21" i="12"/>
  <c r="DH21" i="12" s="1"/>
  <c r="DG9" i="12"/>
  <c r="DG11" i="12"/>
  <c r="CM12" i="12"/>
  <c r="DH12" i="12" s="1"/>
  <c r="CM4" i="12"/>
  <c r="DH4" i="12" s="1"/>
  <c r="CM8" i="12"/>
  <c r="DH8" i="12" s="1"/>
  <c r="CN33" i="12"/>
  <c r="CO33" i="12" s="1"/>
  <c r="DG19" i="12"/>
  <c r="CM3" i="12"/>
  <c r="DH3" i="12" s="1"/>
  <c r="CM5" i="12"/>
  <c r="CN5" i="12" s="1"/>
  <c r="CO5" i="12" s="1"/>
  <c r="CP5" i="12" s="1"/>
  <c r="CN34" i="12"/>
  <c r="CO34" i="12" s="1"/>
  <c r="CM26" i="12"/>
  <c r="CN26" i="12" s="1"/>
  <c r="CO26" i="12" s="1"/>
  <c r="DG7" i="12"/>
  <c r="CM10" i="12"/>
  <c r="CN7" i="12"/>
  <c r="CO7" i="12" s="1"/>
  <c r="CP7" i="12" s="1"/>
  <c r="CN28" i="12"/>
  <c r="CO28" i="12" s="1"/>
  <c r="DJ28" i="12" s="1"/>
  <c r="DH34" i="12"/>
  <c r="DH33" i="12"/>
  <c r="DI32" i="12"/>
  <c r="CO32" i="12"/>
  <c r="CN29" i="12"/>
  <c r="DH29" i="12"/>
  <c r="CN31" i="12"/>
  <c r="F9" i="8"/>
  <c r="E9" i="8"/>
  <c r="D9" i="8"/>
  <c r="CN27" i="12" l="1"/>
  <c r="DH32" i="12"/>
  <c r="CN22" i="12"/>
  <c r="CO22" i="12" s="1"/>
  <c r="DH20" i="12"/>
  <c r="DH19" i="12"/>
  <c r="DH6" i="12"/>
  <c r="CN25" i="12"/>
  <c r="DI25" i="12" s="1"/>
  <c r="CN16" i="12"/>
  <c r="CO16" i="12" s="1"/>
  <c r="CP16" i="12" s="1"/>
  <c r="CQ16" i="12" s="1"/>
  <c r="CN24" i="12"/>
  <c r="DI24" i="12" s="1"/>
  <c r="CN18" i="12"/>
  <c r="CO18" i="12" s="1"/>
  <c r="CN15" i="12"/>
  <c r="CO15" i="12" s="1"/>
  <c r="DI20" i="12"/>
  <c r="CN11" i="12"/>
  <c r="CO11" i="12" s="1"/>
  <c r="DI33" i="12"/>
  <c r="CN9" i="12"/>
  <c r="CO9" i="12" s="1"/>
  <c r="CP9" i="12" s="1"/>
  <c r="CQ9" i="12" s="1"/>
  <c r="CN13" i="12"/>
  <c r="DI13" i="12" s="1"/>
  <c r="CN17" i="12"/>
  <c r="CO17" i="12" s="1"/>
  <c r="DJ17" i="12" s="1"/>
  <c r="DI26" i="12"/>
  <c r="CN23" i="12"/>
  <c r="DI23" i="12" s="1"/>
  <c r="CN30" i="12"/>
  <c r="CO30" i="12" s="1"/>
  <c r="DJ30" i="12" s="1"/>
  <c r="CN14" i="12"/>
  <c r="CO14" i="12" s="1"/>
  <c r="CP14" i="12" s="1"/>
  <c r="DH5" i="12"/>
  <c r="CN12" i="12"/>
  <c r="CO12" i="12" s="1"/>
  <c r="CP12" i="12" s="1"/>
  <c r="CN8" i="12"/>
  <c r="CO8" i="12" s="1"/>
  <c r="CP8" i="12" s="1"/>
  <c r="CO24" i="12"/>
  <c r="CN21" i="12"/>
  <c r="DI21" i="12" s="1"/>
  <c r="DI34" i="12"/>
  <c r="CN3" i="12"/>
  <c r="CO3" i="12" s="1"/>
  <c r="CP3" i="12" s="1"/>
  <c r="CQ3" i="12" s="1"/>
  <c r="CN4" i="12"/>
  <c r="CO4" i="12" s="1"/>
  <c r="CP4" i="12" s="1"/>
  <c r="DH26" i="12"/>
  <c r="DI28" i="12"/>
  <c r="CN10" i="12"/>
  <c r="DH10" i="12"/>
  <c r="CP28" i="12"/>
  <c r="DK28" i="12" s="1"/>
  <c r="DI22" i="12"/>
  <c r="CP33" i="12"/>
  <c r="DJ33" i="12"/>
  <c r="CP32" i="12"/>
  <c r="DJ32" i="12"/>
  <c r="CP26" i="12"/>
  <c r="DJ26" i="12"/>
  <c r="CP6" i="12"/>
  <c r="CP34" i="12"/>
  <c r="CP22" i="12"/>
  <c r="DJ22" i="12"/>
  <c r="CP20" i="12"/>
  <c r="DJ20" i="12"/>
  <c r="CQ5" i="12"/>
  <c r="CQ7" i="12"/>
  <c r="CO31" i="12"/>
  <c r="CO27" i="12"/>
  <c r="DI27" i="12"/>
  <c r="CO29" i="12"/>
  <c r="DI29" i="12"/>
  <c r="DI15" i="12"/>
  <c r="CO19" i="12"/>
  <c r="DI19" i="12"/>
  <c r="H9" i="8"/>
  <c r="F27" i="8" s="1"/>
  <c r="P11" i="6"/>
  <c r="CO25" i="12" l="1"/>
  <c r="CP25" i="12" s="1"/>
  <c r="DI18" i="12"/>
  <c r="DI11" i="12"/>
  <c r="CO23" i="12"/>
  <c r="CO13" i="12"/>
  <c r="CP13" i="12" s="1"/>
  <c r="DI17" i="12"/>
  <c r="CO21" i="12"/>
  <c r="CP21" i="12" s="1"/>
  <c r="CQ21" i="12" s="1"/>
  <c r="CR21" i="12" s="1"/>
  <c r="CP17" i="12"/>
  <c r="CQ17" i="12" s="1"/>
  <c r="DI30" i="12"/>
  <c r="DJ25" i="12"/>
  <c r="CP30" i="12"/>
  <c r="CQ30" i="12" s="1"/>
  <c r="CR30" i="12" s="1"/>
  <c r="CQ28" i="12"/>
  <c r="CR28" i="12" s="1"/>
  <c r="CP24" i="12"/>
  <c r="DJ24" i="12"/>
  <c r="DI5" i="12"/>
  <c r="DI3" i="12"/>
  <c r="DI6" i="12"/>
  <c r="DI7" i="12"/>
  <c r="DI14" i="12"/>
  <c r="DI9" i="12"/>
  <c r="DI4" i="12"/>
  <c r="DI8" i="12"/>
  <c r="DI12" i="12"/>
  <c r="DI31" i="12"/>
  <c r="DI16" i="12"/>
  <c r="DI10" i="12"/>
  <c r="CO10" i="12"/>
  <c r="CP15" i="12"/>
  <c r="DJ15" i="12"/>
  <c r="CP29" i="12"/>
  <c r="CR7" i="12"/>
  <c r="CR9" i="12"/>
  <c r="CQ12" i="12"/>
  <c r="CP11" i="12"/>
  <c r="DJ11" i="12"/>
  <c r="CQ8" i="12"/>
  <c r="CQ6" i="12"/>
  <c r="CR3" i="12"/>
  <c r="CR17" i="12"/>
  <c r="CQ26" i="12"/>
  <c r="DK26" i="12"/>
  <c r="CP23" i="12"/>
  <c r="DJ23" i="12"/>
  <c r="CQ33" i="12"/>
  <c r="DK33" i="12"/>
  <c r="CQ14" i="12"/>
  <c r="CP27" i="12"/>
  <c r="DJ27" i="12"/>
  <c r="CP19" i="12"/>
  <c r="DJ19" i="12"/>
  <c r="CP31" i="12"/>
  <c r="CR5" i="12"/>
  <c r="CQ20" i="12"/>
  <c r="DK20" i="12"/>
  <c r="CQ22" i="12"/>
  <c r="DK22" i="12"/>
  <c r="CQ25" i="12"/>
  <c r="DK25" i="12"/>
  <c r="CQ34" i="12"/>
  <c r="CP18" i="12"/>
  <c r="DJ18" i="12"/>
  <c r="CQ4" i="12"/>
  <c r="CQ32" i="12"/>
  <c r="DK32" i="12"/>
  <c r="CR16" i="12"/>
  <c r="AX25" i="10"/>
  <c r="AW25" i="10"/>
  <c r="BC25" i="10" s="1"/>
  <c r="J25" i="10" s="1"/>
  <c r="R25" i="10"/>
  <c r="AE25" i="10" s="1"/>
  <c r="Q25" i="10"/>
  <c r="X25" i="10" s="1"/>
  <c r="P6" i="11"/>
  <c r="D17" i="3"/>
  <c r="E18" i="12" s="1"/>
  <c r="E17" i="3"/>
  <c r="H17" i="3" s="1"/>
  <c r="I24" i="9"/>
  <c r="H24" i="9"/>
  <c r="G24" i="9"/>
  <c r="F24" i="9"/>
  <c r="W24" i="9" s="1"/>
  <c r="E24" i="9"/>
  <c r="E32" i="3"/>
  <c r="T25" i="10" s="1"/>
  <c r="D32" i="3"/>
  <c r="DJ13" i="12" l="1"/>
  <c r="DJ4" i="12"/>
  <c r="DJ14" i="12"/>
  <c r="DL30" i="12"/>
  <c r="DK30" i="12"/>
  <c r="DJ7" i="12"/>
  <c r="DL28" i="12"/>
  <c r="DJ5" i="12"/>
  <c r="DJ21" i="12"/>
  <c r="DJ31" i="12"/>
  <c r="DJ12" i="12"/>
  <c r="DJ3" i="12"/>
  <c r="DJ34" i="12"/>
  <c r="DJ29" i="12"/>
  <c r="DJ16" i="12"/>
  <c r="DJ9" i="12"/>
  <c r="CQ24" i="12"/>
  <c r="DK24" i="12"/>
  <c r="DJ6" i="12"/>
  <c r="DJ8" i="12"/>
  <c r="CP10" i="12"/>
  <c r="CQ10" i="12" s="1"/>
  <c r="CR10" i="12" s="1"/>
  <c r="DJ10" i="12"/>
  <c r="CS5" i="12"/>
  <c r="CS30" i="12"/>
  <c r="DM30" i="12"/>
  <c r="CQ31" i="12"/>
  <c r="CQ27" i="12"/>
  <c r="DK27" i="12"/>
  <c r="CQ23" i="12"/>
  <c r="DK23" i="12"/>
  <c r="CS17" i="12"/>
  <c r="CR6" i="12"/>
  <c r="CR8" i="12"/>
  <c r="CR12" i="12"/>
  <c r="CS7" i="12"/>
  <c r="CQ15" i="12"/>
  <c r="DK15" i="12"/>
  <c r="CR4" i="12"/>
  <c r="CR22" i="12"/>
  <c r="DL22" i="12"/>
  <c r="CR32" i="12"/>
  <c r="DL32" i="12"/>
  <c r="CS21" i="12"/>
  <c r="CR25" i="12"/>
  <c r="DL25" i="12"/>
  <c r="CR20" i="12"/>
  <c r="DL20" i="12"/>
  <c r="CQ13" i="12"/>
  <c r="DK13" i="12"/>
  <c r="CQ19" i="12"/>
  <c r="DK19" i="12"/>
  <c r="CR14" i="12"/>
  <c r="CS16" i="12"/>
  <c r="DK18" i="12"/>
  <c r="CQ18" i="12"/>
  <c r="CS28" i="12"/>
  <c r="CR34" i="12"/>
  <c r="CR33" i="12"/>
  <c r="DL33" i="12"/>
  <c r="CR26" i="12"/>
  <c r="DL26" i="12"/>
  <c r="CS3" i="12"/>
  <c r="CQ11" i="12"/>
  <c r="DK11" i="12"/>
  <c r="CS9" i="12"/>
  <c r="CQ29" i="12"/>
  <c r="D24" i="9"/>
  <c r="E24" i="12"/>
  <c r="G17" i="3"/>
  <c r="F17" i="3"/>
  <c r="K17" i="3" s="1"/>
  <c r="M32" i="3"/>
  <c r="AD25" i="10"/>
  <c r="AR25" i="10" s="1"/>
  <c r="AY25" i="10"/>
  <c r="AZ25" i="10"/>
  <c r="BA25" i="10"/>
  <c r="S25" i="10"/>
  <c r="E25" i="10" s="1"/>
  <c r="AH25" i="10"/>
  <c r="L24" i="9"/>
  <c r="AN25" i="10" s="1"/>
  <c r="J24" i="9"/>
  <c r="V24" i="9"/>
  <c r="S24" i="9"/>
  <c r="U24" i="9"/>
  <c r="K24" i="9"/>
  <c r="F32" i="3"/>
  <c r="P32" i="3" s="1"/>
  <c r="G32" i="3"/>
  <c r="V25" i="10" s="1"/>
  <c r="G25" i="10" s="1"/>
  <c r="O32" i="3"/>
  <c r="H32" i="3"/>
  <c r="W25" i="10" s="1"/>
  <c r="B5" i="10"/>
  <c r="B6" i="10" s="1"/>
  <c r="B7" i="10" s="1"/>
  <c r="B8" i="10" s="1"/>
  <c r="B9" i="10" s="1"/>
  <c r="I20" i="9"/>
  <c r="L20" i="9" s="1"/>
  <c r="H20" i="9"/>
  <c r="G20" i="9"/>
  <c r="F20" i="9"/>
  <c r="W20" i="9" s="1"/>
  <c r="E20" i="9"/>
  <c r="P8" i="6"/>
  <c r="E20" i="3"/>
  <c r="D20" i="3"/>
  <c r="I30" i="9"/>
  <c r="J30" i="9" s="1"/>
  <c r="H30" i="9"/>
  <c r="G30" i="9"/>
  <c r="F30" i="9"/>
  <c r="W30" i="9" s="1"/>
  <c r="E30" i="9"/>
  <c r="AX14" i="10"/>
  <c r="AW14" i="10"/>
  <c r="BC14" i="10" s="1"/>
  <c r="J14" i="10" s="1"/>
  <c r="R14" i="10"/>
  <c r="AE14" i="10" s="1"/>
  <c r="Q14" i="10"/>
  <c r="P12" i="6"/>
  <c r="F20" i="8"/>
  <c r="E20" i="8"/>
  <c r="D20" i="8"/>
  <c r="AX32" i="10"/>
  <c r="AW32" i="10"/>
  <c r="R32" i="10"/>
  <c r="AE32" i="10" s="1"/>
  <c r="Q32" i="10"/>
  <c r="AD32" i="10" s="1"/>
  <c r="D34" i="9"/>
  <c r="I33" i="9"/>
  <c r="L33" i="9" s="1"/>
  <c r="H33" i="9"/>
  <c r="G33" i="9"/>
  <c r="F33" i="9"/>
  <c r="W33" i="9" s="1"/>
  <c r="E33" i="9"/>
  <c r="F19" i="8"/>
  <c r="E19" i="8"/>
  <c r="D19" i="8"/>
  <c r="I28" i="9"/>
  <c r="H28" i="9"/>
  <c r="G28" i="9"/>
  <c r="F28" i="9"/>
  <c r="W28" i="9" s="1"/>
  <c r="E28" i="9"/>
  <c r="AX26" i="10"/>
  <c r="AW26" i="10"/>
  <c r="BC26" i="10" s="1"/>
  <c r="J26" i="10" s="1"/>
  <c r="R26" i="10"/>
  <c r="AE26" i="10" s="1"/>
  <c r="Q26" i="10"/>
  <c r="E34" i="3"/>
  <c r="G34" i="3" s="1"/>
  <c r="D34" i="3"/>
  <c r="I14" i="9"/>
  <c r="H14" i="9"/>
  <c r="G14" i="9"/>
  <c r="F14" i="9"/>
  <c r="W14" i="9" s="1"/>
  <c r="E14" i="9"/>
  <c r="AX12" i="10"/>
  <c r="AW12" i="10"/>
  <c r="R12" i="10"/>
  <c r="AE12" i="10" s="1"/>
  <c r="Q12" i="10"/>
  <c r="E22" i="3"/>
  <c r="F22" i="3" s="1"/>
  <c r="K22" i="3" s="1"/>
  <c r="D22" i="3"/>
  <c r="F12" i="8"/>
  <c r="E12" i="8"/>
  <c r="D12" i="8"/>
  <c r="F17" i="8"/>
  <c r="E17" i="8"/>
  <c r="D17" i="8"/>
  <c r="AX33" i="10"/>
  <c r="AW33" i="10"/>
  <c r="AY33" i="10" s="1"/>
  <c r="R33" i="10"/>
  <c r="AE33" i="10" s="1"/>
  <c r="Q33" i="10"/>
  <c r="AX16" i="10"/>
  <c r="AW16" i="10"/>
  <c r="R16" i="10"/>
  <c r="AE16" i="10" s="1"/>
  <c r="Q16" i="10"/>
  <c r="AX20" i="10"/>
  <c r="AW20" i="10"/>
  <c r="R20" i="10"/>
  <c r="AE20" i="10" s="1"/>
  <c r="Q20" i="10"/>
  <c r="I22" i="9"/>
  <c r="H22" i="9"/>
  <c r="G22" i="9"/>
  <c r="F22" i="9"/>
  <c r="W22" i="9" s="1"/>
  <c r="E22" i="9"/>
  <c r="I26" i="9"/>
  <c r="H26" i="9"/>
  <c r="G26" i="9"/>
  <c r="F26" i="9"/>
  <c r="W26" i="9" s="1"/>
  <c r="E26" i="9"/>
  <c r="E28" i="3"/>
  <c r="F28" i="3" s="1"/>
  <c r="K28" i="3" s="1"/>
  <c r="D28" i="3"/>
  <c r="E24" i="3"/>
  <c r="G24" i="3" s="1"/>
  <c r="D24" i="3"/>
  <c r="F15" i="8"/>
  <c r="E15" i="8"/>
  <c r="D15" i="8"/>
  <c r="F16" i="8"/>
  <c r="E16" i="8"/>
  <c r="D16" i="8"/>
  <c r="E38" i="3"/>
  <c r="D38" i="3"/>
  <c r="AX31" i="10"/>
  <c r="AW31" i="10"/>
  <c r="BC31" i="10" s="1"/>
  <c r="J31" i="10" s="1"/>
  <c r="R31" i="10"/>
  <c r="AE31" i="10" s="1"/>
  <c r="Q31" i="10"/>
  <c r="I18" i="9"/>
  <c r="H18" i="9"/>
  <c r="G18" i="9"/>
  <c r="F18" i="9"/>
  <c r="W18" i="9" s="1"/>
  <c r="E18" i="9"/>
  <c r="E31" i="3"/>
  <c r="P31" i="3" s="1"/>
  <c r="D31" i="3"/>
  <c r="AX21" i="10"/>
  <c r="AW21" i="10"/>
  <c r="BA21" i="10" s="1"/>
  <c r="R21" i="10"/>
  <c r="AE21" i="10" s="1"/>
  <c r="Q21" i="10"/>
  <c r="I23" i="9"/>
  <c r="H23" i="9"/>
  <c r="G23" i="9"/>
  <c r="F23" i="9"/>
  <c r="W23" i="9" s="1"/>
  <c r="E23" i="9"/>
  <c r="E36" i="3"/>
  <c r="D36" i="3"/>
  <c r="E28" i="12" s="1"/>
  <c r="AX23" i="10"/>
  <c r="AW23" i="10"/>
  <c r="BA23" i="10" s="1"/>
  <c r="R23" i="10"/>
  <c r="AE23" i="10" s="1"/>
  <c r="Q23" i="10"/>
  <c r="X23" i="10" s="1"/>
  <c r="I19" i="9"/>
  <c r="H19" i="9"/>
  <c r="G19" i="9"/>
  <c r="F19" i="9"/>
  <c r="W19" i="9" s="1"/>
  <c r="E19" i="9"/>
  <c r="I27" i="9"/>
  <c r="H27" i="9"/>
  <c r="G27" i="9"/>
  <c r="F27" i="9"/>
  <c r="W27" i="9" s="1"/>
  <c r="E27" i="9"/>
  <c r="AX30" i="10"/>
  <c r="AW30" i="10"/>
  <c r="AY30" i="10" s="1"/>
  <c r="R30" i="10"/>
  <c r="AE30" i="10" s="1"/>
  <c r="Q30" i="10"/>
  <c r="AD30" i="10" s="1"/>
  <c r="AU30" i="10" s="1"/>
  <c r="H30" i="10" s="1"/>
  <c r="E37" i="3"/>
  <c r="H37" i="3" s="1"/>
  <c r="D37" i="3"/>
  <c r="E29" i="12" s="1"/>
  <c r="P11" i="11"/>
  <c r="I32" i="11"/>
  <c r="I31" i="11"/>
  <c r="I32" i="6"/>
  <c r="I31" i="6"/>
  <c r="F14" i="8"/>
  <c r="E14" i="8"/>
  <c r="D14" i="8"/>
  <c r="F10" i="8"/>
  <c r="E10" i="8"/>
  <c r="D10" i="8"/>
  <c r="CH3" i="8"/>
  <c r="I21" i="9"/>
  <c r="H21" i="9"/>
  <c r="G21" i="9"/>
  <c r="F21" i="9"/>
  <c r="W21" i="9" s="1"/>
  <c r="E21" i="9"/>
  <c r="I17" i="9"/>
  <c r="H17" i="9"/>
  <c r="G17" i="9"/>
  <c r="F17" i="9"/>
  <c r="E17" i="9"/>
  <c r="H6" i="9"/>
  <c r="DP3" i="9"/>
  <c r="E33" i="3"/>
  <c r="D33" i="3"/>
  <c r="E39" i="3"/>
  <c r="D39" i="3"/>
  <c r="E16" i="3"/>
  <c r="D16" i="3"/>
  <c r="E23" i="3"/>
  <c r="D23" i="3"/>
  <c r="R42" i="3"/>
  <c r="BW2" i="3"/>
  <c r="E260" i="2"/>
  <c r="C251" i="2"/>
  <c r="F250" i="2"/>
  <c r="E250" i="2"/>
  <c r="C250" i="2"/>
  <c r="E248" i="2"/>
  <c r="C239" i="2"/>
  <c r="F238" i="2"/>
  <c r="E238" i="2"/>
  <c r="C238" i="2"/>
  <c r="C25" i="1"/>
  <c r="C28" i="1"/>
  <c r="C27" i="1"/>
  <c r="A4" i="1"/>
  <c r="A5" i="1" s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G25" i="10" l="1"/>
  <c r="AM25" i="10"/>
  <c r="AJ25" i="10"/>
  <c r="AL25" i="10"/>
  <c r="DK4" i="12"/>
  <c r="DK17" i="12"/>
  <c r="DK29" i="12"/>
  <c r="DK9" i="12"/>
  <c r="DK5" i="12"/>
  <c r="DK21" i="12"/>
  <c r="DK7" i="12"/>
  <c r="DK16" i="12"/>
  <c r="DK3" i="12"/>
  <c r="DK8" i="12"/>
  <c r="DK6" i="12"/>
  <c r="DK14" i="12"/>
  <c r="DK12" i="12"/>
  <c r="DK31" i="12"/>
  <c r="AU25" i="10"/>
  <c r="H25" i="10" s="1"/>
  <c r="Q54" i="9"/>
  <c r="DK34" i="12"/>
  <c r="H20" i="8"/>
  <c r="F36" i="8" s="1"/>
  <c r="CR24" i="12"/>
  <c r="DL24" i="12"/>
  <c r="DK10" i="12"/>
  <c r="DL17" i="12"/>
  <c r="DL16" i="12"/>
  <c r="DL5" i="12"/>
  <c r="DL3" i="12"/>
  <c r="CR19" i="12"/>
  <c r="DL19" i="12"/>
  <c r="CT21" i="12"/>
  <c r="CS32" i="12"/>
  <c r="DM32" i="12"/>
  <c r="CT9" i="12"/>
  <c r="DL34" i="12"/>
  <c r="DL14" i="12"/>
  <c r="DL10" i="12"/>
  <c r="CS4" i="12"/>
  <c r="CT7" i="12"/>
  <c r="CS8" i="12"/>
  <c r="CT17" i="12"/>
  <c r="CR27" i="12"/>
  <c r="DL27" i="12"/>
  <c r="CR11" i="12"/>
  <c r="DL11" i="12"/>
  <c r="CT3" i="12"/>
  <c r="CS33" i="12"/>
  <c r="CS34" i="12"/>
  <c r="CT28" i="12"/>
  <c r="CT16" i="12"/>
  <c r="CS14" i="12"/>
  <c r="CR13" i="12"/>
  <c r="DL13" i="12"/>
  <c r="CS25" i="12"/>
  <c r="DM25" i="12"/>
  <c r="CS10" i="12"/>
  <c r="DL12" i="12"/>
  <c r="DL6" i="12"/>
  <c r="DL7" i="12"/>
  <c r="CR31" i="12"/>
  <c r="DL31" i="12"/>
  <c r="CT5" i="12"/>
  <c r="CS26" i="12"/>
  <c r="DM26" i="12"/>
  <c r="CS20" i="12"/>
  <c r="DM20" i="12"/>
  <c r="DL4" i="12"/>
  <c r="DL8" i="12"/>
  <c r="CT30" i="12"/>
  <c r="CR29" i="12"/>
  <c r="DL29" i="12"/>
  <c r="CR18" i="12"/>
  <c r="DL18" i="12"/>
  <c r="DL9" i="12"/>
  <c r="CS22" i="12"/>
  <c r="CR15" i="12"/>
  <c r="DL15" i="12"/>
  <c r="CS12" i="12"/>
  <c r="CS6" i="12"/>
  <c r="CR23" i="12"/>
  <c r="DL23" i="12"/>
  <c r="DL21" i="12"/>
  <c r="AB25" i="10"/>
  <c r="F25" i="10" s="1"/>
  <c r="J17" i="3"/>
  <c r="H14" i="8"/>
  <c r="H16" i="8"/>
  <c r="H17" i="8"/>
  <c r="F34" i="8" s="1"/>
  <c r="H19" i="8"/>
  <c r="F35" i="8" s="1"/>
  <c r="D20" i="9"/>
  <c r="E19" i="12"/>
  <c r="D14" i="9"/>
  <c r="E11" i="12"/>
  <c r="P17" i="3"/>
  <c r="M17" i="3"/>
  <c r="J51" i="3" s="1"/>
  <c r="D28" i="9"/>
  <c r="E25" i="12"/>
  <c r="D18" i="9"/>
  <c r="E13" i="12"/>
  <c r="D17" i="9"/>
  <c r="E12" i="12"/>
  <c r="D22" i="9"/>
  <c r="E15" i="12"/>
  <c r="D29" i="9"/>
  <c r="E31" i="12"/>
  <c r="D23" i="9"/>
  <c r="E20" i="12"/>
  <c r="D15" i="9"/>
  <c r="E10" i="12"/>
  <c r="D26" i="9"/>
  <c r="E14" i="12"/>
  <c r="D30" i="9"/>
  <c r="E30" i="12"/>
  <c r="H15" i="8"/>
  <c r="F32" i="8" s="1"/>
  <c r="H12" i="8"/>
  <c r="F30" i="8" s="1"/>
  <c r="AY32" i="10"/>
  <c r="O17" i="3"/>
  <c r="K25" i="10"/>
  <c r="U25" i="10"/>
  <c r="AI25" i="10"/>
  <c r="AF25" i="10"/>
  <c r="AK25" i="10"/>
  <c r="I25" i="10" s="1"/>
  <c r="AQ25" i="10"/>
  <c r="AP25" i="10"/>
  <c r="AS25" i="10"/>
  <c r="U20" i="9"/>
  <c r="L26" i="9"/>
  <c r="K32" i="3"/>
  <c r="Z25" i="10" s="1"/>
  <c r="J32" i="3"/>
  <c r="Y25" i="10" s="1"/>
  <c r="M31" i="3"/>
  <c r="J65" i="3" s="1"/>
  <c r="S20" i="9"/>
  <c r="Q50" i="9" s="1"/>
  <c r="J20" i="9"/>
  <c r="K20" i="9"/>
  <c r="V20" i="9"/>
  <c r="L14" i="9"/>
  <c r="V30" i="9"/>
  <c r="U30" i="9"/>
  <c r="K30" i="9"/>
  <c r="L28" i="9"/>
  <c r="L30" i="9"/>
  <c r="L18" i="9"/>
  <c r="S30" i="9"/>
  <c r="Q60" i="9" s="1"/>
  <c r="H34" i="3"/>
  <c r="W31" i="10" s="1"/>
  <c r="AZ32" i="10"/>
  <c r="F34" i="3"/>
  <c r="K34" i="3" s="1"/>
  <c r="G28" i="3"/>
  <c r="J28" i="3" s="1"/>
  <c r="Y16" i="10" s="1"/>
  <c r="F20" i="3"/>
  <c r="K20" i="3" s="1"/>
  <c r="Z12" i="10" s="1"/>
  <c r="G20" i="3"/>
  <c r="H20" i="3"/>
  <c r="U14" i="9"/>
  <c r="Z14" i="10"/>
  <c r="AY14" i="10"/>
  <c r="S14" i="10"/>
  <c r="E14" i="10" s="1"/>
  <c r="AZ14" i="10"/>
  <c r="T14" i="10"/>
  <c r="X14" i="10"/>
  <c r="AD14" i="10"/>
  <c r="BA14" i="10"/>
  <c r="U14" i="10"/>
  <c r="AR32" i="10"/>
  <c r="AS32" i="10"/>
  <c r="AP32" i="10"/>
  <c r="BA32" i="10"/>
  <c r="S32" i="10"/>
  <c r="E32" i="10" s="1"/>
  <c r="BC32" i="10"/>
  <c r="J32" i="10" s="1"/>
  <c r="T32" i="10"/>
  <c r="X32" i="10"/>
  <c r="AQ32" i="10"/>
  <c r="J33" i="9"/>
  <c r="U33" i="9"/>
  <c r="K33" i="9"/>
  <c r="V33" i="9"/>
  <c r="S33" i="9"/>
  <c r="Q63" i="9" s="1"/>
  <c r="V28" i="9"/>
  <c r="J28" i="9"/>
  <c r="S28" i="9"/>
  <c r="Q58" i="9" s="1"/>
  <c r="U28" i="9"/>
  <c r="K28" i="9"/>
  <c r="T26" i="10"/>
  <c r="X26" i="10"/>
  <c r="AD26" i="10"/>
  <c r="AQ26" i="10" s="1"/>
  <c r="AY26" i="10"/>
  <c r="AZ26" i="10"/>
  <c r="BA26" i="10"/>
  <c r="S26" i="10"/>
  <c r="E26" i="10" s="1"/>
  <c r="P22" i="3"/>
  <c r="S14" i="9"/>
  <c r="Q44" i="9" s="1"/>
  <c r="G22" i="3"/>
  <c r="M22" i="3" s="1"/>
  <c r="AY12" i="10"/>
  <c r="J14" i="9"/>
  <c r="H22" i="3"/>
  <c r="S12" i="10"/>
  <c r="E12" i="10" s="1"/>
  <c r="AZ12" i="10"/>
  <c r="K14" i="9"/>
  <c r="V14" i="9"/>
  <c r="T12" i="10"/>
  <c r="X12" i="10"/>
  <c r="AD12" i="10"/>
  <c r="BA12" i="10"/>
  <c r="AZ33" i="10"/>
  <c r="X33" i="10"/>
  <c r="AD33" i="10"/>
  <c r="BA33" i="10"/>
  <c r="BC33" i="10"/>
  <c r="J33" i="10" s="1"/>
  <c r="V20" i="10"/>
  <c r="G20" i="10" s="1"/>
  <c r="AY20" i="10"/>
  <c r="Z16" i="10"/>
  <c r="AY16" i="10"/>
  <c r="S20" i="10"/>
  <c r="E20" i="10" s="1"/>
  <c r="AZ20" i="10"/>
  <c r="S16" i="10"/>
  <c r="E16" i="10" s="1"/>
  <c r="AZ16" i="10"/>
  <c r="T20" i="10"/>
  <c r="X20" i="10"/>
  <c r="AD20" i="10"/>
  <c r="BA20" i="10"/>
  <c r="T16" i="10"/>
  <c r="X16" i="10"/>
  <c r="AD16" i="10"/>
  <c r="BA16" i="10"/>
  <c r="U16" i="10"/>
  <c r="L23" i="9"/>
  <c r="S23" i="9"/>
  <c r="Q53" i="9" s="1"/>
  <c r="K17" i="9"/>
  <c r="J22" i="9"/>
  <c r="AD23" i="10"/>
  <c r="AQ23" i="10" s="1"/>
  <c r="K26" i="9"/>
  <c r="L22" i="9"/>
  <c r="V22" i="9"/>
  <c r="S22" i="9"/>
  <c r="Q52" i="9" s="1"/>
  <c r="K22" i="9"/>
  <c r="U22" i="9"/>
  <c r="S26" i="9"/>
  <c r="Q56" i="9" s="1"/>
  <c r="V26" i="9"/>
  <c r="J26" i="9"/>
  <c r="U26" i="9"/>
  <c r="P28" i="3"/>
  <c r="H28" i="3"/>
  <c r="W16" i="10" s="1"/>
  <c r="F24" i="3"/>
  <c r="K24" i="3" s="1"/>
  <c r="Z20" i="10" s="1"/>
  <c r="H24" i="3"/>
  <c r="W20" i="10" s="1"/>
  <c r="L21" i="9"/>
  <c r="L27" i="9"/>
  <c r="J23" i="9"/>
  <c r="F38" i="3"/>
  <c r="U26" i="10" s="1"/>
  <c r="G38" i="3"/>
  <c r="V26" i="10" s="1"/>
  <c r="G26" i="10" s="1"/>
  <c r="H38" i="3"/>
  <c r="W26" i="10" s="1"/>
  <c r="AY31" i="10"/>
  <c r="S31" i="10"/>
  <c r="E31" i="10" s="1"/>
  <c r="AZ31" i="10"/>
  <c r="T31" i="10"/>
  <c r="X31" i="10"/>
  <c r="AD31" i="10"/>
  <c r="BA31" i="10"/>
  <c r="BC21" i="10"/>
  <c r="J21" i="10" s="1"/>
  <c r="J18" i="9"/>
  <c r="U18" i="9"/>
  <c r="AY21" i="10"/>
  <c r="K18" i="9"/>
  <c r="V18" i="9"/>
  <c r="S18" i="9"/>
  <c r="Q48" i="9" s="1"/>
  <c r="BC23" i="10"/>
  <c r="J23" i="10" s="1"/>
  <c r="AZ21" i="10"/>
  <c r="V19" i="9"/>
  <c r="V23" i="9"/>
  <c r="K23" i="9"/>
  <c r="U23" i="9"/>
  <c r="G31" i="3"/>
  <c r="J31" i="3" s="1"/>
  <c r="Y21" i="10" s="1"/>
  <c r="H31" i="3"/>
  <c r="W21" i="10" s="1"/>
  <c r="F31" i="3"/>
  <c r="K31" i="3" s="1"/>
  <c r="Z21" i="10" s="1"/>
  <c r="AB21" i="10"/>
  <c r="F21" i="10" s="1"/>
  <c r="O31" i="3"/>
  <c r="S21" i="10"/>
  <c r="E21" i="10" s="1"/>
  <c r="T21" i="10"/>
  <c r="X21" i="10"/>
  <c r="AD21" i="10"/>
  <c r="F36" i="3"/>
  <c r="K36" i="3" s="1"/>
  <c r="AY23" i="10"/>
  <c r="G36" i="3"/>
  <c r="AZ30" i="10"/>
  <c r="AZ23" i="10"/>
  <c r="H36" i="3"/>
  <c r="U19" i="9"/>
  <c r="K19" i="9"/>
  <c r="L19" i="9"/>
  <c r="S19" i="9"/>
  <c r="Q49" i="9" s="1"/>
  <c r="J19" i="9"/>
  <c r="BA30" i="10"/>
  <c r="U27" i="9"/>
  <c r="S30" i="10"/>
  <c r="E30" i="10" s="1"/>
  <c r="W30" i="10"/>
  <c r="BC30" i="10"/>
  <c r="J30" i="10" s="1"/>
  <c r="K27" i="9"/>
  <c r="V27" i="9"/>
  <c r="S27" i="9"/>
  <c r="Q57" i="9" s="1"/>
  <c r="J27" i="9"/>
  <c r="T30" i="10"/>
  <c r="X30" i="10"/>
  <c r="AH30" i="10"/>
  <c r="AL30" i="10"/>
  <c r="AQ30" i="10"/>
  <c r="AM30" i="10"/>
  <c r="AF30" i="10"/>
  <c r="AJ30" i="10"/>
  <c r="AN30" i="10"/>
  <c r="AS30" i="10"/>
  <c r="AI30" i="10"/>
  <c r="AR30" i="10"/>
  <c r="AG30" i="10"/>
  <c r="AK30" i="10"/>
  <c r="I30" i="10" s="1"/>
  <c r="AP30" i="10"/>
  <c r="F37" i="3"/>
  <c r="K37" i="3" s="1"/>
  <c r="Z30" i="10" s="1"/>
  <c r="G37" i="3"/>
  <c r="V30" i="10" s="1"/>
  <c r="G30" i="10" s="1"/>
  <c r="L17" i="9"/>
  <c r="F16" i="3"/>
  <c r="K16" i="3" s="1"/>
  <c r="G16" i="3"/>
  <c r="H16" i="3"/>
  <c r="H10" i="8"/>
  <c r="S21" i="9"/>
  <c r="Q51" i="9" s="1"/>
  <c r="J21" i="9"/>
  <c r="U21" i="9"/>
  <c r="K21" i="9"/>
  <c r="V21" i="9"/>
  <c r="J17" i="9"/>
  <c r="V17" i="9"/>
  <c r="S17" i="9"/>
  <c r="Q47" i="9" s="1"/>
  <c r="U17" i="9"/>
  <c r="W17" i="9"/>
  <c r="F33" i="3"/>
  <c r="K33" i="3" s="1"/>
  <c r="G33" i="3"/>
  <c r="H33" i="3"/>
  <c r="F39" i="3"/>
  <c r="P39" i="3" s="1"/>
  <c r="G39" i="3"/>
  <c r="V32" i="10" s="1"/>
  <c r="G32" i="10" s="1"/>
  <c r="H39" i="3"/>
  <c r="W32" i="10" s="1"/>
  <c r="G23" i="3"/>
  <c r="H23" i="3"/>
  <c r="F23" i="3"/>
  <c r="K23" i="3" s="1"/>
  <c r="BW42" i="3"/>
  <c r="BN42" i="3"/>
  <c r="BK42" i="3"/>
  <c r="BE42" i="3"/>
  <c r="BH42" i="3"/>
  <c r="BB42" i="3"/>
  <c r="AY42" i="3"/>
  <c r="AV42" i="3"/>
  <c r="AS42" i="3"/>
  <c r="AP42" i="3"/>
  <c r="AM42" i="3"/>
  <c r="AJ42" i="3"/>
  <c r="AG42" i="3"/>
  <c r="AD42" i="3"/>
  <c r="AA42" i="3"/>
  <c r="X42" i="3"/>
  <c r="U42" i="3"/>
  <c r="D6" i="8"/>
  <c r="E6" i="8"/>
  <c r="F6" i="8"/>
  <c r="D7" i="8"/>
  <c r="E7" i="8"/>
  <c r="F7" i="8"/>
  <c r="D11" i="8"/>
  <c r="E11" i="8"/>
  <c r="F11" i="8"/>
  <c r="D8" i="8"/>
  <c r="E8" i="8"/>
  <c r="F8" i="8"/>
  <c r="D5" i="8"/>
  <c r="E5" i="8"/>
  <c r="F5" i="8"/>
  <c r="AW6" i="10"/>
  <c r="AW11" i="10"/>
  <c r="AW8" i="10"/>
  <c r="AW13" i="10"/>
  <c r="BA13" i="10" s="1"/>
  <c r="AW18" i="10"/>
  <c r="BA18" i="10" s="1"/>
  <c r="AW22" i="10"/>
  <c r="AY22" i="10" s="1"/>
  <c r="AW15" i="10"/>
  <c r="BA15" i="10" s="1"/>
  <c r="AW27" i="10"/>
  <c r="BC27" i="10" s="1"/>
  <c r="AW28" i="10"/>
  <c r="BA28" i="10" s="1"/>
  <c r="AW19" i="10"/>
  <c r="BA19" i="10" s="1"/>
  <c r="AW24" i="10"/>
  <c r="BA24" i="10" s="1"/>
  <c r="AW35" i="10"/>
  <c r="BA35" i="10" s="1"/>
  <c r="Q35" i="10"/>
  <c r="R35" i="10"/>
  <c r="AE35" i="10" s="1"/>
  <c r="AX35" i="10"/>
  <c r="BC20" i="10" l="1"/>
  <c r="J20" i="10" s="1"/>
  <c r="M25" i="10"/>
  <c r="N25" i="10" s="1"/>
  <c r="F33" i="8"/>
  <c r="F31" i="8"/>
  <c r="BC12" i="10"/>
  <c r="J12" i="10" s="1"/>
  <c r="F28" i="8"/>
  <c r="DM24" i="12"/>
  <c r="CS24" i="12"/>
  <c r="BC16" i="10"/>
  <c r="J16" i="10" s="1"/>
  <c r="DM28" i="12"/>
  <c r="DM21" i="12"/>
  <c r="CS23" i="12"/>
  <c r="DM23" i="12"/>
  <c r="CT22" i="12"/>
  <c r="CS18" i="12"/>
  <c r="DM18" i="12"/>
  <c r="CU30" i="12"/>
  <c r="CT20" i="12"/>
  <c r="DM10" i="12"/>
  <c r="DM34" i="12"/>
  <c r="DM5" i="12"/>
  <c r="CU17" i="12"/>
  <c r="CU7" i="12"/>
  <c r="CU9" i="12"/>
  <c r="CU21" i="12"/>
  <c r="DM6" i="12"/>
  <c r="CT10" i="12"/>
  <c r="CS13" i="12"/>
  <c r="DM13" i="12"/>
  <c r="CU16" i="12"/>
  <c r="CT34" i="12"/>
  <c r="CU3" i="12"/>
  <c r="DM8" i="12"/>
  <c r="DM4" i="12"/>
  <c r="CT6" i="12"/>
  <c r="CS15" i="12"/>
  <c r="DM15" i="12"/>
  <c r="CS29" i="12"/>
  <c r="DM29" i="12"/>
  <c r="CT26" i="12"/>
  <c r="DN26" i="12"/>
  <c r="CU5" i="12"/>
  <c r="DM14" i="12"/>
  <c r="DM33" i="12"/>
  <c r="CS27" i="12"/>
  <c r="DM27" i="12"/>
  <c r="CT8" i="12"/>
  <c r="CT4" i="12"/>
  <c r="CT32" i="12"/>
  <c r="CS19" i="12"/>
  <c r="DM19" i="12"/>
  <c r="CT12" i="12"/>
  <c r="CS31" i="12"/>
  <c r="DM31" i="12"/>
  <c r="DM12" i="12"/>
  <c r="DM22" i="12"/>
  <c r="CT25" i="12"/>
  <c r="DN25" i="12"/>
  <c r="CT14" i="12"/>
  <c r="CU28" i="12"/>
  <c r="CT33" i="12"/>
  <c r="CS11" i="12"/>
  <c r="DM11" i="12"/>
  <c r="DM9" i="12"/>
  <c r="DM17" i="12"/>
  <c r="DM3" i="12"/>
  <c r="DM7" i="12"/>
  <c r="DM16" i="12"/>
  <c r="AB14" i="10"/>
  <c r="F14" i="10" s="1"/>
  <c r="J55" i="3"/>
  <c r="AY10" i="10"/>
  <c r="H5" i="8"/>
  <c r="F23" i="8" s="1"/>
  <c r="AY11" i="10"/>
  <c r="AP23" i="10"/>
  <c r="AS23" i="10"/>
  <c r="K32" i="10"/>
  <c r="O28" i="3"/>
  <c r="U12" i="10"/>
  <c r="P34" i="3"/>
  <c r="V16" i="10"/>
  <c r="G16" i="10" s="1"/>
  <c r="O34" i="3"/>
  <c r="M28" i="3"/>
  <c r="J34" i="3"/>
  <c r="M34" i="3"/>
  <c r="J67" i="3" s="1"/>
  <c r="O23" i="3"/>
  <c r="M36" i="3"/>
  <c r="J69" i="3" s="1"/>
  <c r="J38" i="3"/>
  <c r="O24" i="3"/>
  <c r="U32" i="10"/>
  <c r="U30" i="10"/>
  <c r="M20" i="3"/>
  <c r="W12" i="10"/>
  <c r="J20" i="3"/>
  <c r="P20" i="3"/>
  <c r="O20" i="3"/>
  <c r="W14" i="10"/>
  <c r="V14" i="10"/>
  <c r="G14" i="10" s="1"/>
  <c r="K14" i="10"/>
  <c r="AR14" i="10"/>
  <c r="AM14" i="10"/>
  <c r="AI14" i="10"/>
  <c r="AQ14" i="10"/>
  <c r="AL14" i="10"/>
  <c r="AH14" i="10"/>
  <c r="AU14" i="10"/>
  <c r="H14" i="10" s="1"/>
  <c r="AP14" i="10"/>
  <c r="AK14" i="10"/>
  <c r="I14" i="10" s="1"/>
  <c r="AG14" i="10"/>
  <c r="AS14" i="10"/>
  <c r="AN14" i="10"/>
  <c r="AJ14" i="10"/>
  <c r="AF14" i="10"/>
  <c r="AS26" i="10"/>
  <c r="AU26" i="10"/>
  <c r="H26" i="10" s="1"/>
  <c r="AR26" i="10"/>
  <c r="K12" i="10"/>
  <c r="AH26" i="10"/>
  <c r="AF26" i="10"/>
  <c r="AG26" i="10"/>
  <c r="AP26" i="10"/>
  <c r="AN26" i="10"/>
  <c r="AM26" i="10"/>
  <c r="AL23" i="10"/>
  <c r="AL26" i="10"/>
  <c r="AK26" i="10"/>
  <c r="I26" i="10" s="1"/>
  <c r="AJ26" i="10"/>
  <c r="AI26" i="10"/>
  <c r="K26" i="10"/>
  <c r="M38" i="3"/>
  <c r="J72" i="3" s="1"/>
  <c r="AU23" i="10"/>
  <c r="H23" i="10" s="1"/>
  <c r="AR23" i="10"/>
  <c r="V12" i="10"/>
  <c r="G12" i="10" s="1"/>
  <c r="O22" i="3"/>
  <c r="J22" i="3"/>
  <c r="J36" i="3"/>
  <c r="V21" i="10"/>
  <c r="G21" i="10" s="1"/>
  <c r="U31" i="10"/>
  <c r="O38" i="3"/>
  <c r="V31" i="10"/>
  <c r="G31" i="10" s="1"/>
  <c r="K38" i="3"/>
  <c r="U20" i="10"/>
  <c r="AR12" i="10"/>
  <c r="AM12" i="10"/>
  <c r="AI12" i="10"/>
  <c r="AQ12" i="10"/>
  <c r="AL12" i="10"/>
  <c r="AH12" i="10"/>
  <c r="AU12" i="10"/>
  <c r="H12" i="10" s="1"/>
  <c r="AP12" i="10"/>
  <c r="AK12" i="10"/>
  <c r="I12" i="10" s="1"/>
  <c r="AG12" i="10"/>
  <c r="AS12" i="10"/>
  <c r="AN12" i="10"/>
  <c r="AJ12" i="10"/>
  <c r="AF12" i="10"/>
  <c r="K33" i="10"/>
  <c r="AN23" i="10"/>
  <c r="AH23" i="10"/>
  <c r="AK23" i="10"/>
  <c r="I23" i="10" s="1"/>
  <c r="AI23" i="10"/>
  <c r="AJ23" i="10"/>
  <c r="AM23" i="10"/>
  <c r="AG23" i="10"/>
  <c r="AS33" i="10"/>
  <c r="AR33" i="10"/>
  <c r="AP33" i="10"/>
  <c r="AQ33" i="10"/>
  <c r="K20" i="10"/>
  <c r="K16" i="10"/>
  <c r="AR16" i="10"/>
  <c r="AM16" i="10"/>
  <c r="AI16" i="10"/>
  <c r="AQ16" i="10"/>
  <c r="AL16" i="10"/>
  <c r="AH16" i="10"/>
  <c r="AU16" i="10"/>
  <c r="H16" i="10" s="1"/>
  <c r="AP16" i="10"/>
  <c r="AK16" i="10"/>
  <c r="I16" i="10" s="1"/>
  <c r="AG16" i="10"/>
  <c r="AS16" i="10"/>
  <c r="AN16" i="10"/>
  <c r="AJ16" i="10"/>
  <c r="AF16" i="10"/>
  <c r="AR20" i="10"/>
  <c r="AM20" i="10"/>
  <c r="AI20" i="10"/>
  <c r="AQ20" i="10"/>
  <c r="AL20" i="10"/>
  <c r="AH20" i="10"/>
  <c r="AU20" i="10"/>
  <c r="H20" i="10" s="1"/>
  <c r="AP20" i="10"/>
  <c r="AK20" i="10"/>
  <c r="I20" i="10" s="1"/>
  <c r="AG20" i="10"/>
  <c r="AS20" i="10"/>
  <c r="AN20" i="10"/>
  <c r="AJ20" i="10"/>
  <c r="AF20" i="10"/>
  <c r="AZ18" i="10"/>
  <c r="J24" i="3"/>
  <c r="Y20" i="10" s="1"/>
  <c r="P24" i="3"/>
  <c r="M24" i="3"/>
  <c r="AY6" i="10"/>
  <c r="U21" i="10"/>
  <c r="P38" i="3"/>
  <c r="AR31" i="10"/>
  <c r="AM31" i="10"/>
  <c r="AI31" i="10"/>
  <c r="AQ31" i="10"/>
  <c r="AL31" i="10"/>
  <c r="AH31" i="10"/>
  <c r="AS31" i="10"/>
  <c r="AN31" i="10"/>
  <c r="AJ31" i="10"/>
  <c r="AF31" i="10"/>
  <c r="AU31" i="10"/>
  <c r="H31" i="10" s="1"/>
  <c r="AP31" i="10"/>
  <c r="AK31" i="10"/>
  <c r="I31" i="10" s="1"/>
  <c r="AG31" i="10"/>
  <c r="K31" i="10"/>
  <c r="K21" i="10"/>
  <c r="AQ21" i="10"/>
  <c r="AL21" i="10"/>
  <c r="AH21" i="10"/>
  <c r="AU21" i="10"/>
  <c r="H21" i="10" s="1"/>
  <c r="AP21" i="10"/>
  <c r="AK21" i="10"/>
  <c r="I21" i="10" s="1"/>
  <c r="AG21" i="10"/>
  <c r="AS21" i="10"/>
  <c r="AN21" i="10"/>
  <c r="AJ21" i="10"/>
  <c r="AF21" i="10"/>
  <c r="AR21" i="10"/>
  <c r="AM21" i="10"/>
  <c r="AI21" i="10"/>
  <c r="K30" i="10"/>
  <c r="K23" i="10"/>
  <c r="AY8" i="10"/>
  <c r="O16" i="3"/>
  <c r="O36" i="3"/>
  <c r="P36" i="3"/>
  <c r="BC18" i="10"/>
  <c r="AZ22" i="10"/>
  <c r="P16" i="3"/>
  <c r="M16" i="3"/>
  <c r="J50" i="3" s="1"/>
  <c r="J16" i="3"/>
  <c r="BC22" i="10"/>
  <c r="BA22" i="10"/>
  <c r="P37" i="3"/>
  <c r="O37" i="3"/>
  <c r="J37" i="3"/>
  <c r="Y30" i="10" s="1"/>
  <c r="BA27" i="10"/>
  <c r="M37" i="3"/>
  <c r="AZ24" i="10"/>
  <c r="BC24" i="10"/>
  <c r="AY27" i="10"/>
  <c r="BA11" i="10"/>
  <c r="AZ27" i="10"/>
  <c r="BC19" i="10"/>
  <c r="O33" i="3"/>
  <c r="P33" i="3" s="1"/>
  <c r="M33" i="3"/>
  <c r="BC13" i="10"/>
  <c r="J33" i="3"/>
  <c r="M39" i="3"/>
  <c r="K39" i="3"/>
  <c r="Z32" i="10" s="1"/>
  <c r="J39" i="3"/>
  <c r="Y32" i="10" s="1"/>
  <c r="O39" i="3"/>
  <c r="P23" i="3"/>
  <c r="M23" i="3"/>
  <c r="J56" i="3" s="1"/>
  <c r="J23" i="3"/>
  <c r="AY24" i="10"/>
  <c r="AY13" i="10"/>
  <c r="AZ19" i="10"/>
  <c r="AY19" i="10"/>
  <c r="AZ11" i="10"/>
  <c r="AY18" i="10"/>
  <c r="AZ13" i="10"/>
  <c r="AY35" i="10"/>
  <c r="AY28" i="10"/>
  <c r="AY15" i="10"/>
  <c r="BC35" i="10"/>
  <c r="J35" i="10" s="1"/>
  <c r="BC28" i="10"/>
  <c r="BC15" i="10"/>
  <c r="AZ15" i="10"/>
  <c r="AZ28" i="10"/>
  <c r="AZ35" i="10"/>
  <c r="AD35" i="10"/>
  <c r="X35" i="10"/>
  <c r="P12" i="11"/>
  <c r="C32" i="11"/>
  <c r="C31" i="11"/>
  <c r="I29" i="11"/>
  <c r="C29" i="11"/>
  <c r="I28" i="11"/>
  <c r="C28" i="11"/>
  <c r="I26" i="11"/>
  <c r="C26" i="11"/>
  <c r="I25" i="11"/>
  <c r="C25" i="11"/>
  <c r="I23" i="11"/>
  <c r="C23" i="11"/>
  <c r="I22" i="11"/>
  <c r="C22" i="11"/>
  <c r="I20" i="11"/>
  <c r="C20" i="11"/>
  <c r="I19" i="11"/>
  <c r="C19" i="11"/>
  <c r="I17" i="11"/>
  <c r="C17" i="11"/>
  <c r="I16" i="11"/>
  <c r="C16" i="11"/>
  <c r="P5" i="11"/>
  <c r="I14" i="11"/>
  <c r="C14" i="11"/>
  <c r="P8" i="11"/>
  <c r="I13" i="11"/>
  <c r="C13" i="11"/>
  <c r="P13" i="11"/>
  <c r="I11" i="11"/>
  <c r="C11" i="11"/>
  <c r="P9" i="11"/>
  <c r="I10" i="11"/>
  <c r="C10" i="11"/>
  <c r="P7" i="11"/>
  <c r="I8" i="11"/>
  <c r="C8" i="11"/>
  <c r="I7" i="11"/>
  <c r="C7" i="11"/>
  <c r="P4" i="11"/>
  <c r="P10" i="11"/>
  <c r="I5" i="11"/>
  <c r="C5" i="11"/>
  <c r="I4" i="11"/>
  <c r="C4" i="11"/>
  <c r="P9" i="6"/>
  <c r="CT24" i="12" l="1"/>
  <c r="DN24" i="12"/>
  <c r="J66" i="3"/>
  <c r="DN9" i="12"/>
  <c r="CT11" i="12"/>
  <c r="DN11" i="12"/>
  <c r="DN3" i="12"/>
  <c r="DN16" i="12"/>
  <c r="CV28" i="12"/>
  <c r="CU25" i="12"/>
  <c r="DO25" i="12"/>
  <c r="DN4" i="12"/>
  <c r="CU26" i="12"/>
  <c r="DO26" i="12"/>
  <c r="CT15" i="12"/>
  <c r="DN15" i="12"/>
  <c r="CV3" i="12"/>
  <c r="CV16" i="12"/>
  <c r="CU10" i="12"/>
  <c r="CV30" i="12"/>
  <c r="CU22" i="12"/>
  <c r="DN7" i="12"/>
  <c r="DN33" i="12"/>
  <c r="DN14" i="12"/>
  <c r="DN30" i="12"/>
  <c r="CT31" i="12"/>
  <c r="DN31" i="12"/>
  <c r="CT19" i="12"/>
  <c r="DN19" i="12"/>
  <c r="CU4" i="12"/>
  <c r="CT27" i="12"/>
  <c r="DN27" i="12"/>
  <c r="DN6" i="12"/>
  <c r="DN34" i="12"/>
  <c r="CV9" i="12"/>
  <c r="CV17" i="12"/>
  <c r="DN20" i="12"/>
  <c r="DN17" i="12"/>
  <c r="CU33" i="12"/>
  <c r="CU14" i="12"/>
  <c r="DN12" i="12"/>
  <c r="DN32" i="12"/>
  <c r="DN8" i="12"/>
  <c r="CV5" i="12"/>
  <c r="CT29" i="12"/>
  <c r="DN29" i="12"/>
  <c r="CU6" i="12"/>
  <c r="CU34" i="12"/>
  <c r="CT13" i="12"/>
  <c r="DN13" i="12"/>
  <c r="CU20" i="12"/>
  <c r="CT18" i="12"/>
  <c r="DN18" i="12"/>
  <c r="CT23" i="12"/>
  <c r="DN23" i="12"/>
  <c r="DN21" i="12"/>
  <c r="CU12" i="12"/>
  <c r="CU32" i="12"/>
  <c r="CU8" i="12"/>
  <c r="DN28" i="12"/>
  <c r="DN10" i="12"/>
  <c r="CV21" i="12"/>
  <c r="CV7" i="12"/>
  <c r="DN22" i="12"/>
  <c r="DN5" i="12"/>
  <c r="AB32" i="10"/>
  <c r="F32" i="10" s="1"/>
  <c r="J73" i="3"/>
  <c r="AB30" i="10"/>
  <c r="F30" i="10" s="1"/>
  <c r="M30" i="10" s="1"/>
  <c r="N30" i="10" s="1"/>
  <c r="J71" i="3"/>
  <c r="AB12" i="10"/>
  <c r="F12" i="10" s="1"/>
  <c r="M12" i="10" s="1"/>
  <c r="N12" i="10" s="1"/>
  <c r="J53" i="3"/>
  <c r="AB16" i="10"/>
  <c r="F16" i="10" s="1"/>
  <c r="M16" i="10" s="1"/>
  <c r="N16" i="10" s="1"/>
  <c r="AB20" i="10"/>
  <c r="F20" i="10" s="1"/>
  <c r="M20" i="10" s="1"/>
  <c r="N20" i="10" s="1"/>
  <c r="J57" i="3"/>
  <c r="M21" i="10"/>
  <c r="N21" i="10" s="1"/>
  <c r="M14" i="10"/>
  <c r="N14" i="10" s="1"/>
  <c r="Z31" i="10"/>
  <c r="Z26" i="10"/>
  <c r="Y31" i="10"/>
  <c r="Y26" i="10"/>
  <c r="AB31" i="10"/>
  <c r="F31" i="10" s="1"/>
  <c r="M31" i="10" s="1"/>
  <c r="N31" i="10" s="1"/>
  <c r="AB26" i="10"/>
  <c r="F26" i="10" s="1"/>
  <c r="M26" i="10" s="1"/>
  <c r="N26" i="10" s="1"/>
  <c r="Y12" i="10"/>
  <c r="Y14" i="10"/>
  <c r="K35" i="10"/>
  <c r="AS35" i="10"/>
  <c r="AP35" i="10"/>
  <c r="AQ35" i="10"/>
  <c r="AR35" i="10"/>
  <c r="D6" i="3"/>
  <c r="D25" i="3"/>
  <c r="E21" i="12" s="1"/>
  <c r="D35" i="3"/>
  <c r="D29" i="3"/>
  <c r="D8" i="3"/>
  <c r="D27" i="3"/>
  <c r="D30" i="3"/>
  <c r="D26" i="3"/>
  <c r="D15" i="3"/>
  <c r="D9" i="3"/>
  <c r="D7" i="3"/>
  <c r="D18" i="3"/>
  <c r="D19" i="3"/>
  <c r="D21" i="3"/>
  <c r="D14" i="3"/>
  <c r="E40" i="3"/>
  <c r="D40" i="3"/>
  <c r="E34" i="12" s="1"/>
  <c r="Q4" i="10"/>
  <c r="Q15" i="10"/>
  <c r="AD15" i="10" s="1"/>
  <c r="Q11" i="10"/>
  <c r="H32" i="9"/>
  <c r="I32" i="9"/>
  <c r="L32" i="9" s="1"/>
  <c r="F32" i="9"/>
  <c r="W32" i="9" s="1"/>
  <c r="G32" i="9"/>
  <c r="E32" i="9"/>
  <c r="Q18" i="10"/>
  <c r="H29" i="9"/>
  <c r="AJ32" i="10" s="1"/>
  <c r="I29" i="9"/>
  <c r="AK32" i="10" s="1"/>
  <c r="I32" i="10" s="1"/>
  <c r="F29" i="9"/>
  <c r="AH32" i="10" s="1"/>
  <c r="G29" i="9"/>
  <c r="AI32" i="10" s="1"/>
  <c r="E29" i="9"/>
  <c r="AG32" i="10" s="1"/>
  <c r="Q27" i="10"/>
  <c r="AD27" i="10" s="1"/>
  <c r="Q19" i="10"/>
  <c r="AD19" i="10" s="1"/>
  <c r="AS19" i="10" s="1"/>
  <c r="Q28" i="10"/>
  <c r="AD28" i="10" s="1"/>
  <c r="Q24" i="10"/>
  <c r="AD24" i="10" s="1"/>
  <c r="AP24" i="10" s="1"/>
  <c r="Q22" i="10"/>
  <c r="AD22" i="10" s="1"/>
  <c r="H5" i="9"/>
  <c r="I5" i="9"/>
  <c r="F5" i="9"/>
  <c r="G5" i="9"/>
  <c r="E5" i="9"/>
  <c r="Q7" i="10"/>
  <c r="AD7" i="10" s="1"/>
  <c r="Q34" i="10"/>
  <c r="AD34" i="10" s="1"/>
  <c r="AP34" i="10" s="1"/>
  <c r="Q9" i="10"/>
  <c r="AD9" i="10" s="1"/>
  <c r="AS9" i="10" s="1"/>
  <c r="Q29" i="10"/>
  <c r="Q10" i="10"/>
  <c r="AD10" i="10" s="1"/>
  <c r="I6" i="9"/>
  <c r="F6" i="9"/>
  <c r="G6" i="9"/>
  <c r="E6" i="9"/>
  <c r="Q17" i="10"/>
  <c r="AD17" i="10" s="1"/>
  <c r="AQ17" i="10" s="1"/>
  <c r="Q5" i="10"/>
  <c r="AD5" i="10" s="1"/>
  <c r="AR5" i="10" s="1"/>
  <c r="H9" i="9"/>
  <c r="I9" i="9"/>
  <c r="F9" i="9"/>
  <c r="G9" i="9"/>
  <c r="E9" i="9"/>
  <c r="Q6" i="10"/>
  <c r="AD6" i="10" s="1"/>
  <c r="AP6" i="10" s="1"/>
  <c r="Q8" i="10"/>
  <c r="AD8" i="10" s="1"/>
  <c r="Q13" i="10"/>
  <c r="AD13" i="10" s="1"/>
  <c r="H15" i="9"/>
  <c r="I15" i="9"/>
  <c r="F15" i="9"/>
  <c r="G15" i="9"/>
  <c r="E15" i="9"/>
  <c r="E27" i="3"/>
  <c r="E30" i="3"/>
  <c r="F30" i="3" s="1"/>
  <c r="E26" i="3"/>
  <c r="E41" i="3"/>
  <c r="F41" i="3" s="1"/>
  <c r="D41" i="3"/>
  <c r="E33" i="12" s="1"/>
  <c r="E29" i="3"/>
  <c r="F29" i="3" s="1"/>
  <c r="E35" i="3"/>
  <c r="F35" i="3" s="1"/>
  <c r="E25" i="3"/>
  <c r="G25" i="3" s="1"/>
  <c r="E18" i="3"/>
  <c r="F18" i="3" s="1"/>
  <c r="E19" i="3"/>
  <c r="E15" i="3"/>
  <c r="E14" i="3"/>
  <c r="G14" i="3" s="1"/>
  <c r="E8" i="3"/>
  <c r="G8" i="3" s="1"/>
  <c r="E7" i="3"/>
  <c r="G7" i="3" s="1"/>
  <c r="E9" i="3"/>
  <c r="G9" i="3" s="1"/>
  <c r="E21" i="3"/>
  <c r="F21" i="3" s="1"/>
  <c r="E6" i="3"/>
  <c r="R22" i="10"/>
  <c r="AE22" i="10" s="1"/>
  <c r="AX22" i="10"/>
  <c r="R24" i="10"/>
  <c r="AE24" i="10" s="1"/>
  <c r="AX24" i="10"/>
  <c r="R28" i="10"/>
  <c r="AE28" i="10" s="1"/>
  <c r="AX28" i="10"/>
  <c r="R19" i="10"/>
  <c r="AE19" i="10" s="1"/>
  <c r="AX19" i="10"/>
  <c r="R27" i="10"/>
  <c r="AE27" i="10" s="1"/>
  <c r="AX27" i="10"/>
  <c r="R18" i="10"/>
  <c r="AE18" i="10" s="1"/>
  <c r="AX18" i="10"/>
  <c r="R11" i="10"/>
  <c r="AE11" i="10" s="1"/>
  <c r="AX11" i="10"/>
  <c r="R15" i="10"/>
  <c r="AE15" i="10" s="1"/>
  <c r="AX15" i="10"/>
  <c r="E34" i="9"/>
  <c r="F34" i="9"/>
  <c r="W34" i="9" s="1"/>
  <c r="G34" i="9"/>
  <c r="H34" i="9"/>
  <c r="I34" i="9"/>
  <c r="E35" i="9"/>
  <c r="AG35" i="10" s="1"/>
  <c r="F35" i="9"/>
  <c r="AH35" i="10" s="1"/>
  <c r="G35" i="9"/>
  <c r="AI35" i="10" s="1"/>
  <c r="H35" i="9"/>
  <c r="AJ35" i="10" s="1"/>
  <c r="I35" i="9"/>
  <c r="L35" i="9" s="1"/>
  <c r="AN35" i="10" s="1"/>
  <c r="E36" i="9"/>
  <c r="F36" i="9"/>
  <c r="W36" i="9" s="1"/>
  <c r="G36" i="9"/>
  <c r="H36" i="9"/>
  <c r="I36" i="9"/>
  <c r="E7" i="9"/>
  <c r="F7" i="9"/>
  <c r="G7" i="9"/>
  <c r="H7" i="9"/>
  <c r="I7" i="9"/>
  <c r="E104" i="2"/>
  <c r="C96" i="2"/>
  <c r="C30" i="1"/>
  <c r="D7" i="2" s="1"/>
  <c r="C29" i="1"/>
  <c r="D6" i="2"/>
  <c r="D5" i="2"/>
  <c r="C31" i="1"/>
  <c r="P14" i="6"/>
  <c r="C228" i="2"/>
  <c r="C215" i="2"/>
  <c r="C191" i="2"/>
  <c r="C179" i="2"/>
  <c r="C156" i="2"/>
  <c r="P13" i="6"/>
  <c r="C132" i="2"/>
  <c r="CV6" i="3"/>
  <c r="FI16" i="9"/>
  <c r="FH16" i="9"/>
  <c r="FG16" i="9"/>
  <c r="FI25" i="9"/>
  <c r="FH25" i="9"/>
  <c r="FG25" i="9"/>
  <c r="FI31" i="9"/>
  <c r="FH31" i="9"/>
  <c r="FG31" i="9"/>
  <c r="FI8" i="9"/>
  <c r="FH8" i="9"/>
  <c r="FG8" i="9"/>
  <c r="FI5" i="9"/>
  <c r="FH5" i="9"/>
  <c r="FG5" i="9"/>
  <c r="FI9" i="9"/>
  <c r="FH9" i="9"/>
  <c r="FG9" i="9"/>
  <c r="CV41" i="3"/>
  <c r="CV30" i="3"/>
  <c r="CV26" i="3"/>
  <c r="CV7" i="3"/>
  <c r="CV9" i="3"/>
  <c r="CV19" i="3"/>
  <c r="CV18" i="3"/>
  <c r="CV15" i="3"/>
  <c r="F16" i="9"/>
  <c r="I16" i="9"/>
  <c r="H16" i="9"/>
  <c r="G16" i="9"/>
  <c r="E16" i="9"/>
  <c r="C107" i="2"/>
  <c r="C71" i="2"/>
  <c r="F58" i="2"/>
  <c r="C59" i="2"/>
  <c r="E164" i="2"/>
  <c r="E188" i="2"/>
  <c r="E92" i="2"/>
  <c r="C84" i="2"/>
  <c r="E44" i="2"/>
  <c r="C36" i="2"/>
  <c r="F34" i="2"/>
  <c r="E34" i="2"/>
  <c r="C34" i="2"/>
  <c r="C46" i="2"/>
  <c r="E46" i="2"/>
  <c r="F46" i="2"/>
  <c r="E32" i="2"/>
  <c r="C23" i="2"/>
  <c r="I25" i="9"/>
  <c r="H25" i="9"/>
  <c r="I8" i="9"/>
  <c r="H8" i="9"/>
  <c r="I31" i="9"/>
  <c r="H31" i="9"/>
  <c r="AJ33" i="10" s="1"/>
  <c r="E25" i="9"/>
  <c r="F25" i="9"/>
  <c r="G25" i="9"/>
  <c r="E8" i="9"/>
  <c r="F8" i="9"/>
  <c r="G8" i="9"/>
  <c r="E31" i="9"/>
  <c r="AG33" i="10" s="1"/>
  <c r="F31" i="9"/>
  <c r="AH33" i="10" s="1"/>
  <c r="G31" i="9"/>
  <c r="AI33" i="10" s="1"/>
  <c r="R13" i="10"/>
  <c r="AE13" i="10" s="1"/>
  <c r="R8" i="10"/>
  <c r="AE8" i="10" s="1"/>
  <c r="R17" i="10"/>
  <c r="AE17" i="10" s="1"/>
  <c r="R6" i="10"/>
  <c r="AE6" i="10" s="1"/>
  <c r="R10" i="10"/>
  <c r="AE10" i="10" s="1"/>
  <c r="R4" i="10"/>
  <c r="AE4" i="10" s="1"/>
  <c r="R7" i="10"/>
  <c r="AE7" i="10" s="1"/>
  <c r="R29" i="10"/>
  <c r="AE29" i="10" s="1"/>
  <c r="R9" i="10"/>
  <c r="AE9" i="10" s="1"/>
  <c r="R5" i="10"/>
  <c r="AE5" i="10" s="1"/>
  <c r="R34" i="10"/>
  <c r="AE34" i="10" s="1"/>
  <c r="J13" i="10"/>
  <c r="AW34" i="10"/>
  <c r="AW5" i="10"/>
  <c r="AY5" i="10" s="1"/>
  <c r="AW9" i="10"/>
  <c r="AZ8" i="10"/>
  <c r="BA8" i="10"/>
  <c r="AW29" i="10"/>
  <c r="AW7" i="10"/>
  <c r="AW4" i="10"/>
  <c r="AZ6" i="10"/>
  <c r="BA6" i="10"/>
  <c r="AW17" i="10"/>
  <c r="AZ10" i="10"/>
  <c r="BA10" i="10"/>
  <c r="AX34" i="10"/>
  <c r="AX5" i="10"/>
  <c r="AX9" i="10"/>
  <c r="AX29" i="10"/>
  <c r="AX7" i="10"/>
  <c r="AX4" i="10"/>
  <c r="AX10" i="10"/>
  <c r="AX6" i="10"/>
  <c r="AX17" i="10"/>
  <c r="AX8" i="10"/>
  <c r="AX13" i="10"/>
  <c r="P10" i="6"/>
  <c r="DK3" i="9"/>
  <c r="DF3" i="9"/>
  <c r="DA3" i="9"/>
  <c r="CV3" i="9"/>
  <c r="CQ3" i="9"/>
  <c r="CL3" i="9"/>
  <c r="CG3" i="9"/>
  <c r="CB3" i="9"/>
  <c r="BW3" i="9"/>
  <c r="BR3" i="9"/>
  <c r="BM3" i="9"/>
  <c r="BH3" i="9"/>
  <c r="BC3" i="9"/>
  <c r="AX3" i="9"/>
  <c r="AS3" i="9"/>
  <c r="AN3" i="9"/>
  <c r="AI3" i="9"/>
  <c r="CD3" i="8"/>
  <c r="BZ3" i="8"/>
  <c r="BV3" i="8"/>
  <c r="BR3" i="8"/>
  <c r="BN3" i="8"/>
  <c r="BJ3" i="8"/>
  <c r="BF3" i="8"/>
  <c r="BB3" i="8"/>
  <c r="AX3" i="8"/>
  <c r="AT3" i="8"/>
  <c r="AP3" i="8"/>
  <c r="AL3" i="8"/>
  <c r="AH3" i="8"/>
  <c r="AD3" i="8"/>
  <c r="Z3" i="8"/>
  <c r="V3" i="8"/>
  <c r="R3" i="8"/>
  <c r="I29" i="6"/>
  <c r="I26" i="6"/>
  <c r="I23" i="6"/>
  <c r="I20" i="6"/>
  <c r="I17" i="6"/>
  <c r="I14" i="6"/>
  <c r="I11" i="6"/>
  <c r="I8" i="6"/>
  <c r="I5" i="6"/>
  <c r="C32" i="6"/>
  <c r="C29" i="6"/>
  <c r="C26" i="6"/>
  <c r="C23" i="6"/>
  <c r="C20" i="6"/>
  <c r="C17" i="6"/>
  <c r="C14" i="6"/>
  <c r="C11" i="6"/>
  <c r="I28" i="6"/>
  <c r="I25" i="6"/>
  <c r="I22" i="6"/>
  <c r="I19" i="6"/>
  <c r="I16" i="6"/>
  <c r="I13" i="6"/>
  <c r="I10" i="6"/>
  <c r="I7" i="6"/>
  <c r="I4" i="6"/>
  <c r="C31" i="6"/>
  <c r="C28" i="6"/>
  <c r="C25" i="6"/>
  <c r="C22" i="6"/>
  <c r="C19" i="6"/>
  <c r="C16" i="6"/>
  <c r="C13" i="6"/>
  <c r="C10" i="6"/>
  <c r="BT2" i="3"/>
  <c r="BQ2" i="3"/>
  <c r="BN2" i="3"/>
  <c r="BK2" i="3"/>
  <c r="BH2" i="3"/>
  <c r="BE2" i="3"/>
  <c r="BB2" i="3"/>
  <c r="AY2" i="3"/>
  <c r="AV2" i="3"/>
  <c r="AS2" i="3"/>
  <c r="AP2" i="3"/>
  <c r="AM2" i="3"/>
  <c r="AJ2" i="3"/>
  <c r="AG2" i="3"/>
  <c r="AD2" i="3"/>
  <c r="AA2" i="3"/>
  <c r="X2" i="3"/>
  <c r="D3" i="2"/>
  <c r="CJ21" i="8"/>
  <c r="CI21" i="8"/>
  <c r="CH21" i="8"/>
  <c r="E236" i="2"/>
  <c r="F226" i="2"/>
  <c r="E226" i="2"/>
  <c r="C226" i="2"/>
  <c r="E212" i="2"/>
  <c r="F202" i="2"/>
  <c r="E202" i="2"/>
  <c r="C202" i="2"/>
  <c r="C204" i="2"/>
  <c r="E215" i="3"/>
  <c r="M215" i="3" s="1"/>
  <c r="D215" i="3"/>
  <c r="CV231" i="3"/>
  <c r="CV229" i="3"/>
  <c r="CV224" i="3"/>
  <c r="CV209" i="3"/>
  <c r="E224" i="3"/>
  <c r="P224" i="3" s="1"/>
  <c r="D224" i="3"/>
  <c r="CV203" i="3"/>
  <c r="E203" i="3"/>
  <c r="J203" i="3" s="1"/>
  <c r="D203" i="3"/>
  <c r="CV227" i="3"/>
  <c r="E227" i="3"/>
  <c r="P227" i="3" s="1"/>
  <c r="D227" i="3"/>
  <c r="CV200" i="3"/>
  <c r="E200" i="3"/>
  <c r="M200" i="3" s="1"/>
  <c r="D200" i="3"/>
  <c r="CV216" i="3"/>
  <c r="E216" i="3"/>
  <c r="G216" i="3" s="1"/>
  <c r="D216" i="3"/>
  <c r="CV207" i="3"/>
  <c r="E207" i="3"/>
  <c r="D207" i="3"/>
  <c r="CV225" i="3"/>
  <c r="E225" i="3"/>
  <c r="H225" i="3" s="1"/>
  <c r="D225" i="3"/>
  <c r="E231" i="3"/>
  <c r="G231" i="3" s="1"/>
  <c r="D231" i="3"/>
  <c r="CV219" i="3"/>
  <c r="E219" i="3"/>
  <c r="J219" i="3" s="1"/>
  <c r="D219" i="3"/>
  <c r="CV220" i="3"/>
  <c r="E220" i="3"/>
  <c r="M220" i="3" s="1"/>
  <c r="D220" i="3"/>
  <c r="CV205" i="3"/>
  <c r="E205" i="3"/>
  <c r="H205" i="3" s="1"/>
  <c r="D205" i="3"/>
  <c r="CV206" i="3"/>
  <c r="E206" i="3"/>
  <c r="P206" i="3" s="1"/>
  <c r="D206" i="3"/>
  <c r="CV222" i="3"/>
  <c r="E222" i="3"/>
  <c r="P222" i="3" s="1"/>
  <c r="D222" i="3"/>
  <c r="CV218" i="3"/>
  <c r="E218" i="3"/>
  <c r="H218" i="3" s="1"/>
  <c r="D218" i="3"/>
  <c r="CV214" i="3"/>
  <c r="E214" i="3"/>
  <c r="G214" i="3" s="1"/>
  <c r="D214" i="3"/>
  <c r="CV221" i="3"/>
  <c r="E221" i="3"/>
  <c r="J221" i="3" s="1"/>
  <c r="D221" i="3"/>
  <c r="CV202" i="3"/>
  <c r="E202" i="3"/>
  <c r="M202" i="3" s="1"/>
  <c r="D202" i="3"/>
  <c r="CV217" i="3"/>
  <c r="E217" i="3"/>
  <c r="O217" i="3" s="1"/>
  <c r="D217" i="3"/>
  <c r="CV223" i="3"/>
  <c r="E223" i="3"/>
  <c r="J223" i="3" s="1"/>
  <c r="D223" i="3"/>
  <c r="CV226" i="3"/>
  <c r="E226" i="3"/>
  <c r="F226" i="3" s="1"/>
  <c r="K226" i="3" s="1"/>
  <c r="D226" i="3"/>
  <c r="CV213" i="3"/>
  <c r="E213" i="3"/>
  <c r="G213" i="3" s="1"/>
  <c r="D213" i="3"/>
  <c r="F194" i="9"/>
  <c r="W194" i="9" s="1"/>
  <c r="I194" i="9"/>
  <c r="J194" i="9" s="1"/>
  <c r="H194" i="9"/>
  <c r="G194" i="9"/>
  <c r="FI198" i="9"/>
  <c r="FH198" i="9"/>
  <c r="FG198" i="9"/>
  <c r="FI203" i="9"/>
  <c r="FH203" i="9"/>
  <c r="FG203" i="9"/>
  <c r="FI205" i="9"/>
  <c r="FH205" i="9"/>
  <c r="FG205" i="9"/>
  <c r="FI193" i="9"/>
  <c r="FH193" i="9"/>
  <c r="FG193" i="9"/>
  <c r="FI202" i="9"/>
  <c r="FH202" i="9"/>
  <c r="FG202" i="9"/>
  <c r="FI199" i="9"/>
  <c r="FH199" i="9"/>
  <c r="FG199" i="9"/>
  <c r="FI201" i="9"/>
  <c r="FH201" i="9"/>
  <c r="FG201" i="9"/>
  <c r="FI204" i="9"/>
  <c r="FH204" i="9"/>
  <c r="FG204" i="9"/>
  <c r="FI183" i="9"/>
  <c r="FH183" i="9"/>
  <c r="FG183" i="9"/>
  <c r="FI196" i="9"/>
  <c r="FH196" i="9"/>
  <c r="FG196" i="9"/>
  <c r="FI192" i="9"/>
  <c r="FH192" i="9"/>
  <c r="FG192" i="9"/>
  <c r="FI197" i="9"/>
  <c r="FH197" i="9"/>
  <c r="FG197" i="9"/>
  <c r="E20" i="2"/>
  <c r="C11" i="2"/>
  <c r="H198" i="9"/>
  <c r="F198" i="9"/>
  <c r="W198" i="9" s="1"/>
  <c r="I198" i="9"/>
  <c r="L198" i="9" s="1"/>
  <c r="G198" i="9"/>
  <c r="F199" i="9"/>
  <c r="W199" i="9" s="1"/>
  <c r="H199" i="9"/>
  <c r="I199" i="9"/>
  <c r="J199" i="9" s="1"/>
  <c r="G199" i="9"/>
  <c r="E224" i="2"/>
  <c r="F214" i="2"/>
  <c r="E214" i="2"/>
  <c r="C214" i="2"/>
  <c r="F195" i="9"/>
  <c r="W195" i="9" s="1"/>
  <c r="F180" i="9"/>
  <c r="K180" i="9" s="1"/>
  <c r="F200" i="9"/>
  <c r="K200" i="9" s="1"/>
  <c r="F189" i="9"/>
  <c r="W189" i="9" s="1"/>
  <c r="F186" i="9"/>
  <c r="W186" i="9" s="1"/>
  <c r="F190" i="9"/>
  <c r="K190" i="9" s="1"/>
  <c r="F184" i="9"/>
  <c r="W184" i="9" s="1"/>
  <c r="F182" i="9"/>
  <c r="K182" i="9" s="1"/>
  <c r="F188" i="9"/>
  <c r="W188" i="9" s="1"/>
  <c r="F187" i="9"/>
  <c r="W187" i="9" s="1"/>
  <c r="F191" i="9"/>
  <c r="W191" i="9" s="1"/>
  <c r="F185" i="9"/>
  <c r="K185" i="9" s="1"/>
  <c r="F181" i="9"/>
  <c r="K181" i="9" s="1"/>
  <c r="I181" i="9"/>
  <c r="J181" i="9" s="1"/>
  <c r="H181" i="9"/>
  <c r="I204" i="9"/>
  <c r="L204" i="9" s="1"/>
  <c r="H204" i="9"/>
  <c r="F196" i="9"/>
  <c r="I196" i="9"/>
  <c r="J196" i="9" s="1"/>
  <c r="H196" i="9"/>
  <c r="F202" i="9"/>
  <c r="K202" i="9" s="1"/>
  <c r="I202" i="9"/>
  <c r="L202" i="9" s="1"/>
  <c r="H202" i="9"/>
  <c r="F197" i="9"/>
  <c r="K197" i="9" s="1"/>
  <c r="I197" i="9"/>
  <c r="L197" i="9" s="1"/>
  <c r="H197" i="9"/>
  <c r="F192" i="9"/>
  <c r="K192" i="9" s="1"/>
  <c r="I192" i="9"/>
  <c r="L192" i="9" s="1"/>
  <c r="H192" i="9"/>
  <c r="F203" i="9"/>
  <c r="K203" i="9" s="1"/>
  <c r="F193" i="9"/>
  <c r="K193" i="9" s="1"/>
  <c r="I193" i="9"/>
  <c r="J193" i="9" s="1"/>
  <c r="H193" i="9"/>
  <c r="F201" i="9"/>
  <c r="W201" i="9" s="1"/>
  <c r="F183" i="9"/>
  <c r="W183" i="9" s="1"/>
  <c r="F204" i="9"/>
  <c r="K204" i="9" s="1"/>
  <c r="I205" i="9"/>
  <c r="H205" i="9"/>
  <c r="F205" i="9"/>
  <c r="W205" i="9" s="1"/>
  <c r="C190" i="2"/>
  <c r="E200" i="2"/>
  <c r="E190" i="2"/>
  <c r="F190" i="2"/>
  <c r="I203" i="9"/>
  <c r="L203" i="9" s="1"/>
  <c r="H203" i="9"/>
  <c r="G203" i="9"/>
  <c r="C168" i="2"/>
  <c r="C144" i="2"/>
  <c r="C120" i="2"/>
  <c r="I183" i="9"/>
  <c r="J183" i="9" s="1"/>
  <c r="H183" i="9"/>
  <c r="G205" i="9"/>
  <c r="G204" i="9"/>
  <c r="G183" i="9"/>
  <c r="E68" i="2"/>
  <c r="G193" i="9"/>
  <c r="I201" i="9"/>
  <c r="L201" i="9" s="1"/>
  <c r="H201" i="9"/>
  <c r="G201" i="9"/>
  <c r="C48" i="2"/>
  <c r="E58" i="2"/>
  <c r="C58" i="2"/>
  <c r="C154" i="2"/>
  <c r="E154" i="2"/>
  <c r="F154" i="2"/>
  <c r="C166" i="2"/>
  <c r="E166" i="2"/>
  <c r="F166" i="2"/>
  <c r="E176" i="2"/>
  <c r="C178" i="2"/>
  <c r="E178" i="2"/>
  <c r="F178" i="2"/>
  <c r="E209" i="3"/>
  <c r="F209" i="3" s="1"/>
  <c r="K209" i="3" s="1"/>
  <c r="E211" i="3"/>
  <c r="J211" i="3" s="1"/>
  <c r="E199" i="3"/>
  <c r="P199" i="3" s="1"/>
  <c r="E210" i="3"/>
  <c r="F210" i="3" s="1"/>
  <c r="E204" i="3"/>
  <c r="M204" i="3" s="1"/>
  <c r="E228" i="3"/>
  <c r="J228" i="3" s="1"/>
  <c r="E208" i="3"/>
  <c r="G208" i="3" s="1"/>
  <c r="E201" i="3"/>
  <c r="J201" i="3" s="1"/>
  <c r="E212" i="3"/>
  <c r="M212" i="3" s="1"/>
  <c r="E230" i="3"/>
  <c r="G230" i="3" s="1"/>
  <c r="E198" i="3"/>
  <c r="F198" i="3" s="1"/>
  <c r="H188" i="9"/>
  <c r="I188" i="9"/>
  <c r="J188" i="9" s="1"/>
  <c r="G188" i="9"/>
  <c r="D210" i="3"/>
  <c r="I186" i="9"/>
  <c r="L186" i="9" s="1"/>
  <c r="I190" i="9"/>
  <c r="J190" i="9" s="1"/>
  <c r="I184" i="9"/>
  <c r="L184" i="9" s="1"/>
  <c r="H184" i="9"/>
  <c r="I182" i="9"/>
  <c r="J182" i="9" s="1"/>
  <c r="H182" i="9"/>
  <c r="I187" i="9"/>
  <c r="L187" i="9" s="1"/>
  <c r="H187" i="9"/>
  <c r="I191" i="9"/>
  <c r="L191" i="9" s="1"/>
  <c r="H191" i="9"/>
  <c r="I185" i="9"/>
  <c r="J185" i="9" s="1"/>
  <c r="H185" i="9"/>
  <c r="H190" i="9"/>
  <c r="G190" i="9"/>
  <c r="E229" i="3"/>
  <c r="F229" i="3" s="1"/>
  <c r="K229" i="3" s="1"/>
  <c r="D228" i="3"/>
  <c r="D211" i="3"/>
  <c r="CV204" i="3"/>
  <c r="G185" i="9"/>
  <c r="H186" i="9"/>
  <c r="D208" i="3"/>
  <c r="G182" i="9"/>
  <c r="D201" i="3"/>
  <c r="E152" i="2"/>
  <c r="F142" i="2"/>
  <c r="E142" i="2"/>
  <c r="C142" i="2"/>
  <c r="E140" i="2"/>
  <c r="F130" i="2"/>
  <c r="E130" i="2"/>
  <c r="C130" i="2"/>
  <c r="E128" i="2"/>
  <c r="F118" i="2"/>
  <c r="E118" i="2"/>
  <c r="C118" i="2"/>
  <c r="D198" i="3"/>
  <c r="G191" i="9"/>
  <c r="D230" i="3"/>
  <c r="CV201" i="3"/>
  <c r="D212" i="3"/>
  <c r="G186" i="9"/>
  <c r="F106" i="2"/>
  <c r="E106" i="2"/>
  <c r="C106" i="2"/>
  <c r="E116" i="2"/>
  <c r="G184" i="9"/>
  <c r="D204" i="3"/>
  <c r="F94" i="2"/>
  <c r="E94" i="2"/>
  <c r="C94" i="2"/>
  <c r="G187" i="9"/>
  <c r="D209" i="3"/>
  <c r="F82" i="2"/>
  <c r="E82" i="2"/>
  <c r="C82" i="2"/>
  <c r="E56" i="2"/>
  <c r="F22" i="2"/>
  <c r="E22" i="2"/>
  <c r="C22" i="2"/>
  <c r="F10" i="2"/>
  <c r="E10" i="2"/>
  <c r="C10" i="2"/>
  <c r="AD3" i="9"/>
  <c r="Y3" i="9"/>
  <c r="E80" i="2"/>
  <c r="F70" i="2"/>
  <c r="E70" i="2"/>
  <c r="C70" i="2"/>
  <c r="U2" i="3"/>
  <c r="R2" i="3"/>
  <c r="D199" i="3"/>
  <c r="CV199" i="3"/>
  <c r="C8" i="6"/>
  <c r="C7" i="6"/>
  <c r="C5" i="6"/>
  <c r="C4" i="6"/>
  <c r="CF21" i="8"/>
  <c r="CE21" i="8"/>
  <c r="CD21" i="8"/>
  <c r="CB21" i="8"/>
  <c r="CA21" i="8"/>
  <c r="BZ21" i="8"/>
  <c r="BX21" i="8"/>
  <c r="BW21" i="8"/>
  <c r="BV21" i="8"/>
  <c r="BT21" i="8"/>
  <c r="BS21" i="8"/>
  <c r="BR21" i="8"/>
  <c r="N3" i="8"/>
  <c r="J3" i="8"/>
  <c r="BP21" i="8"/>
  <c r="BO21" i="8"/>
  <c r="BN21" i="8"/>
  <c r="BL21" i="8"/>
  <c r="BK21" i="8"/>
  <c r="BJ21" i="8"/>
  <c r="BH21" i="8"/>
  <c r="BG21" i="8"/>
  <c r="BF21" i="8"/>
  <c r="BD21" i="8"/>
  <c r="BC21" i="8"/>
  <c r="BB21" i="8"/>
  <c r="AZ21" i="8"/>
  <c r="AY21" i="8"/>
  <c r="AX21" i="8"/>
  <c r="AV21" i="8"/>
  <c r="AU21" i="8"/>
  <c r="AT21" i="8"/>
  <c r="AR21" i="8"/>
  <c r="AQ21" i="8"/>
  <c r="AP21" i="8"/>
  <c r="AN21" i="8"/>
  <c r="AM21" i="8"/>
  <c r="AL21" i="8"/>
  <c r="AJ21" i="8"/>
  <c r="AI21" i="8"/>
  <c r="AH21" i="8"/>
  <c r="AF21" i="8"/>
  <c r="AE21" i="8"/>
  <c r="AD21" i="8"/>
  <c r="AB21" i="8"/>
  <c r="AA21" i="8"/>
  <c r="Z21" i="8"/>
  <c r="X21" i="8"/>
  <c r="W21" i="8"/>
  <c r="V21" i="8"/>
  <c r="T21" i="8"/>
  <c r="S21" i="8"/>
  <c r="R21" i="8"/>
  <c r="P21" i="8"/>
  <c r="O21" i="8"/>
  <c r="N21" i="8"/>
  <c r="L21" i="8"/>
  <c r="K21" i="8"/>
  <c r="J21" i="8"/>
  <c r="M165" i="10"/>
  <c r="B163" i="10"/>
  <c r="B164" i="10" s="1"/>
  <c r="B165" i="10" s="1"/>
  <c r="M164" i="10"/>
  <c r="M163" i="10"/>
  <c r="FI195" i="9"/>
  <c r="FH195" i="9"/>
  <c r="FG195" i="9"/>
  <c r="I195" i="9"/>
  <c r="J195" i="9" s="1"/>
  <c r="H195" i="9"/>
  <c r="G195" i="9"/>
  <c r="FI180" i="9"/>
  <c r="FH180" i="9"/>
  <c r="FG180" i="9"/>
  <c r="I180" i="9"/>
  <c r="J180" i="9" s="1"/>
  <c r="H180" i="9"/>
  <c r="G180" i="9"/>
  <c r="FI200" i="9"/>
  <c r="FH200" i="9"/>
  <c r="FG200" i="9"/>
  <c r="I200" i="9"/>
  <c r="J200" i="9" s="1"/>
  <c r="H200" i="9"/>
  <c r="U200" i="9" s="1"/>
  <c r="G200" i="9"/>
  <c r="FI189" i="9"/>
  <c r="FH189" i="9"/>
  <c r="FG189" i="9"/>
  <c r="I189" i="9"/>
  <c r="J189" i="9" s="1"/>
  <c r="H189" i="9"/>
  <c r="G189" i="9"/>
  <c r="FI181" i="9"/>
  <c r="FH181" i="9"/>
  <c r="FG181" i="9"/>
  <c r="G181" i="9"/>
  <c r="G197" i="9"/>
  <c r="G202" i="9"/>
  <c r="G196" i="9"/>
  <c r="G192" i="9"/>
  <c r="CV212" i="3"/>
  <c r="D229" i="3"/>
  <c r="D21" i="8"/>
  <c r="E21" i="8"/>
  <c r="F21" i="8"/>
  <c r="H8" i="8"/>
  <c r="F25" i="8" s="1"/>
  <c r="H11" i="8"/>
  <c r="H6" i="8"/>
  <c r="H7" i="8"/>
  <c r="F26" i="8" s="1"/>
  <c r="J201" i="9"/>
  <c r="L181" i="9"/>
  <c r="K183" i="9"/>
  <c r="W190" i="9"/>
  <c r="J198" i="9"/>
  <c r="W200" i="9"/>
  <c r="L196" i="9"/>
  <c r="J202" i="9"/>
  <c r="L205" i="9"/>
  <c r="S191" i="9" l="1"/>
  <c r="U202" i="9"/>
  <c r="K186" i="9"/>
  <c r="S205" i="9"/>
  <c r="S199" i="9"/>
  <c r="BC11" i="10"/>
  <c r="F29" i="8"/>
  <c r="DO24" i="12"/>
  <c r="CU24" i="12"/>
  <c r="BC6" i="10"/>
  <c r="F24" i="8"/>
  <c r="DO16" i="12"/>
  <c r="DO9" i="12"/>
  <c r="CV8" i="12"/>
  <c r="CU23" i="12"/>
  <c r="DO23" i="12"/>
  <c r="CV6" i="12"/>
  <c r="CV4" i="12"/>
  <c r="CU31" i="12"/>
  <c r="DO31" i="12"/>
  <c r="CW30" i="12"/>
  <c r="CV10" i="12"/>
  <c r="CU15" i="12"/>
  <c r="DO15" i="12"/>
  <c r="DO3" i="12"/>
  <c r="DO32" i="12"/>
  <c r="DO28" i="12"/>
  <c r="DO7" i="12"/>
  <c r="DO34" i="12"/>
  <c r="CV14" i="12"/>
  <c r="CW9" i="12"/>
  <c r="DO22" i="12"/>
  <c r="DO17" i="12"/>
  <c r="CV25" i="12"/>
  <c r="CW7" i="12"/>
  <c r="CV20" i="12"/>
  <c r="CW3" i="12"/>
  <c r="DO30" i="12"/>
  <c r="CW21" i="12"/>
  <c r="CV32" i="12"/>
  <c r="CU18" i="12"/>
  <c r="DO18" i="12"/>
  <c r="DO21" i="12"/>
  <c r="CV34" i="12"/>
  <c r="CU29" i="12"/>
  <c r="DO29" i="12"/>
  <c r="DO33" i="12"/>
  <c r="CU27" i="12"/>
  <c r="DO27" i="12"/>
  <c r="CU19" i="12"/>
  <c r="DO19" i="12"/>
  <c r="CV22" i="12"/>
  <c r="CW16" i="12"/>
  <c r="CV26" i="12"/>
  <c r="DP26" i="12"/>
  <c r="CV12" i="12"/>
  <c r="CU13" i="12"/>
  <c r="DO13" i="12"/>
  <c r="CW5" i="12"/>
  <c r="DO14" i="12"/>
  <c r="DO5" i="12"/>
  <c r="DO8" i="12"/>
  <c r="DO12" i="12"/>
  <c r="DO20" i="12"/>
  <c r="DO6" i="12"/>
  <c r="CV33" i="12"/>
  <c r="CW17" i="12"/>
  <c r="DO4" i="12"/>
  <c r="DO10" i="12"/>
  <c r="CW28" i="12"/>
  <c r="CU11" i="12"/>
  <c r="DO11" i="12"/>
  <c r="K188" i="9"/>
  <c r="J203" i="9"/>
  <c r="K189" i="9"/>
  <c r="L194" i="9"/>
  <c r="S187" i="9"/>
  <c r="S194" i="9"/>
  <c r="S5" i="9"/>
  <c r="Q39" i="9" s="1"/>
  <c r="L182" i="9"/>
  <c r="J191" i="9"/>
  <c r="W180" i="9"/>
  <c r="U189" i="9"/>
  <c r="V205" i="9"/>
  <c r="J187" i="9"/>
  <c r="S190" i="9"/>
  <c r="U192" i="9"/>
  <c r="S182" i="9"/>
  <c r="W182" i="9"/>
  <c r="V194" i="9"/>
  <c r="D8" i="9"/>
  <c r="AF6" i="10" s="1"/>
  <c r="E5" i="12"/>
  <c r="D31" i="9"/>
  <c r="E32" i="12"/>
  <c r="D36" i="9"/>
  <c r="AF10" i="10" s="1"/>
  <c r="E9" i="12"/>
  <c r="D7" i="9"/>
  <c r="AF7" i="10" s="1"/>
  <c r="E6" i="12"/>
  <c r="D25" i="9"/>
  <c r="E3" i="12"/>
  <c r="S4" i="10"/>
  <c r="E4" i="10" s="1"/>
  <c r="D21" i="9"/>
  <c r="AF17" i="10" s="1"/>
  <c r="E16" i="12"/>
  <c r="D32" i="9"/>
  <c r="AF27" i="10" s="1"/>
  <c r="E26" i="12"/>
  <c r="D5" i="9"/>
  <c r="AF8" i="10" s="1"/>
  <c r="E7" i="12"/>
  <c r="D19" i="9"/>
  <c r="AF23" i="10" s="1"/>
  <c r="E22" i="12"/>
  <c r="D33" i="9"/>
  <c r="AF28" i="10" s="1"/>
  <c r="E27" i="12"/>
  <c r="D6" i="9"/>
  <c r="AF9" i="10" s="1"/>
  <c r="E8" i="12"/>
  <c r="D9" i="9"/>
  <c r="AF5" i="10" s="1"/>
  <c r="E4" i="12"/>
  <c r="D16" i="9"/>
  <c r="E17" i="12"/>
  <c r="D27" i="9"/>
  <c r="AF24" i="10" s="1"/>
  <c r="E23" i="12"/>
  <c r="X7" i="10"/>
  <c r="X28" i="10"/>
  <c r="X10" i="10"/>
  <c r="P220" i="3"/>
  <c r="S35" i="10"/>
  <c r="E35" i="10" s="1"/>
  <c r="D35" i="9"/>
  <c r="AF35" i="10" s="1"/>
  <c r="X34" i="10"/>
  <c r="F219" i="3"/>
  <c r="K219" i="3" s="1"/>
  <c r="K25" i="9"/>
  <c r="AK35" i="10"/>
  <c r="I35" i="10" s="1"/>
  <c r="F199" i="3"/>
  <c r="K199" i="3" s="1"/>
  <c r="F202" i="3"/>
  <c r="K202" i="3" s="1"/>
  <c r="H202" i="3"/>
  <c r="G219" i="3"/>
  <c r="P202" i="3"/>
  <c r="G19" i="3"/>
  <c r="V33" i="10" s="1"/>
  <c r="G33" i="10" s="1"/>
  <c r="T33" i="10"/>
  <c r="AF33" i="10"/>
  <c r="S33" i="10"/>
  <c r="E33" i="10" s="1"/>
  <c r="J31" i="9"/>
  <c r="AL33" i="10" s="1"/>
  <c r="AK33" i="10"/>
  <c r="I33" i="10" s="1"/>
  <c r="L189" i="9"/>
  <c r="V187" i="9"/>
  <c r="U187" i="9"/>
  <c r="U196" i="9"/>
  <c r="S185" i="9"/>
  <c r="L180" i="9"/>
  <c r="W185" i="9"/>
  <c r="U195" i="9"/>
  <c r="S204" i="9"/>
  <c r="U15" i="9"/>
  <c r="V32" i="9"/>
  <c r="J7" i="9"/>
  <c r="AL7" i="10" s="1"/>
  <c r="S23" i="10"/>
  <c r="E23" i="10" s="1"/>
  <c r="H26" i="3"/>
  <c r="W23" i="10" s="1"/>
  <c r="T23" i="10"/>
  <c r="J15" i="9"/>
  <c r="BC5" i="10"/>
  <c r="J5" i="10" s="1"/>
  <c r="V29" i="9"/>
  <c r="V5" i="9"/>
  <c r="K8" i="9"/>
  <c r="AM6" i="10" s="1"/>
  <c r="S34" i="10"/>
  <c r="E34" i="10" s="1"/>
  <c r="X9" i="10"/>
  <c r="X8" i="10"/>
  <c r="S10" i="10"/>
  <c r="E10" i="10" s="1"/>
  <c r="X19" i="10"/>
  <c r="AI34" i="10"/>
  <c r="S8" i="10"/>
  <c r="E8" i="10" s="1"/>
  <c r="J192" i="9"/>
  <c r="L185" i="9"/>
  <c r="J205" i="9"/>
  <c r="K195" i="9"/>
  <c r="L190" i="9"/>
  <c r="K191" i="9"/>
  <c r="V181" i="9"/>
  <c r="U197" i="9"/>
  <c r="S181" i="9"/>
  <c r="S200" i="9"/>
  <c r="S189" i="9"/>
  <c r="V189" i="9"/>
  <c r="K199" i="9"/>
  <c r="U199" i="9"/>
  <c r="S8" i="9"/>
  <c r="M226" i="3"/>
  <c r="O226" i="3"/>
  <c r="P226" i="3" s="1"/>
  <c r="F224" i="3"/>
  <c r="K224" i="3" s="1"/>
  <c r="H206" i="3"/>
  <c r="J224" i="3"/>
  <c r="H220" i="3"/>
  <c r="M217" i="3"/>
  <c r="G217" i="3"/>
  <c r="F214" i="3"/>
  <c r="K214" i="3" s="1"/>
  <c r="J205" i="3"/>
  <c r="G223" i="3"/>
  <c r="F205" i="3"/>
  <c r="K205" i="3" s="1"/>
  <c r="M214" i="3"/>
  <c r="X13" i="10"/>
  <c r="U181" i="9"/>
  <c r="K184" i="9"/>
  <c r="S203" i="9"/>
  <c r="S198" i="9"/>
  <c r="V196" i="9"/>
  <c r="S202" i="9"/>
  <c r="V202" i="9"/>
  <c r="W202" i="9" s="1"/>
  <c r="V180" i="9"/>
  <c r="J32" i="9"/>
  <c r="AL27" i="10" s="1"/>
  <c r="V203" i="9"/>
  <c r="K187" i="9"/>
  <c r="U180" i="9"/>
  <c r="L7" i="9"/>
  <c r="L183" i="9"/>
  <c r="V192" i="9"/>
  <c r="J184" i="9"/>
  <c r="U194" i="9"/>
  <c r="K205" i="9"/>
  <c r="U193" i="9"/>
  <c r="S188" i="9"/>
  <c r="V198" i="9"/>
  <c r="U204" i="9"/>
  <c r="K5" i="9"/>
  <c r="AM8" i="10" s="1"/>
  <c r="S197" i="9"/>
  <c r="S180" i="9"/>
  <c r="L195" i="9"/>
  <c r="U205" i="9"/>
  <c r="U16" i="9"/>
  <c r="K35" i="9"/>
  <c r="K196" i="9"/>
  <c r="S192" i="9"/>
  <c r="J197" i="9"/>
  <c r="W193" i="9"/>
  <c r="L188" i="9"/>
  <c r="K194" i="9"/>
  <c r="J186" i="9"/>
  <c r="K201" i="9"/>
  <c r="V186" i="9"/>
  <c r="S184" i="9"/>
  <c r="V201" i="9"/>
  <c r="S183" i="9"/>
  <c r="S15" i="9"/>
  <c r="Q45" i="9" s="1"/>
  <c r="S29" i="9"/>
  <c r="S7" i="9"/>
  <c r="AG19" i="10"/>
  <c r="S32" i="9"/>
  <c r="V36" i="9"/>
  <c r="C26" i="1"/>
  <c r="D4" i="2" s="1"/>
  <c r="P219" i="3"/>
  <c r="O220" i="3"/>
  <c r="H226" i="3"/>
  <c r="O213" i="3"/>
  <c r="P213" i="3" s="1"/>
  <c r="P214" i="3"/>
  <c r="J222" i="3"/>
  <c r="F231" i="3"/>
  <c r="K231" i="3" s="1"/>
  <c r="U183" i="9"/>
  <c r="S186" i="9"/>
  <c r="V204" i="9"/>
  <c r="V195" i="9"/>
  <c r="F213" i="3"/>
  <c r="K213" i="3" s="1"/>
  <c r="O206" i="3"/>
  <c r="J213" i="3"/>
  <c r="P205" i="3"/>
  <c r="M219" i="3"/>
  <c r="H223" i="3"/>
  <c r="U186" i="9"/>
  <c r="U203" i="9"/>
  <c r="H222" i="3"/>
  <c r="M213" i="3"/>
  <c r="V31" i="9"/>
  <c r="V35" i="9"/>
  <c r="V6" i="9"/>
  <c r="L5" i="9"/>
  <c r="AN8" i="10" s="1"/>
  <c r="K198" i="9"/>
  <c r="V199" i="9"/>
  <c r="S196" i="9"/>
  <c r="V200" i="9"/>
  <c r="M222" i="3"/>
  <c r="S193" i="9"/>
  <c r="L199" i="9"/>
  <c r="L200" i="9"/>
  <c r="O214" i="3"/>
  <c r="G222" i="3"/>
  <c r="F220" i="3"/>
  <c r="K220" i="3" s="1"/>
  <c r="G218" i="3"/>
  <c r="G226" i="3"/>
  <c r="M231" i="3"/>
  <c r="J214" i="3"/>
  <c r="H214" i="3"/>
  <c r="O231" i="3"/>
  <c r="S201" i="9"/>
  <c r="W203" i="9"/>
  <c r="G220" i="3"/>
  <c r="P231" i="3"/>
  <c r="J206" i="3"/>
  <c r="O205" i="3"/>
  <c r="F206" i="3"/>
  <c r="K206" i="3" s="1"/>
  <c r="V183" i="9"/>
  <c r="S195" i="9"/>
  <c r="D8" i="2"/>
  <c r="F218" i="3"/>
  <c r="K218" i="3" s="1"/>
  <c r="O223" i="3"/>
  <c r="P223" i="3" s="1"/>
  <c r="O219" i="3"/>
  <c r="M205" i="3"/>
  <c r="U201" i="9"/>
  <c r="L193" i="9"/>
  <c r="F223" i="3"/>
  <c r="K223" i="3" s="1"/>
  <c r="U8" i="9"/>
  <c r="AM34" i="10"/>
  <c r="S35" i="9"/>
  <c r="Q65" i="9" s="1"/>
  <c r="U198" i="9"/>
  <c r="V197" i="9"/>
  <c r="F222" i="3"/>
  <c r="K222" i="3" s="1"/>
  <c r="J220" i="3"/>
  <c r="O218" i="3"/>
  <c r="P218" i="3" s="1"/>
  <c r="H213" i="3"/>
  <c r="H231" i="3"/>
  <c r="O222" i="3"/>
  <c r="J231" i="3"/>
  <c r="V193" i="9"/>
  <c r="J226" i="3"/>
  <c r="G205" i="3"/>
  <c r="M206" i="3"/>
  <c r="G206" i="3"/>
  <c r="J204" i="9"/>
  <c r="J218" i="3"/>
  <c r="M218" i="3"/>
  <c r="M223" i="3"/>
  <c r="H219" i="3"/>
  <c r="S25" i="9"/>
  <c r="Q55" i="9" s="1"/>
  <c r="AI19" i="10"/>
  <c r="K6" i="9"/>
  <c r="AG10" i="10"/>
  <c r="J5" i="9"/>
  <c r="AL8" i="10" s="1"/>
  <c r="AR10" i="10"/>
  <c r="K29" i="9"/>
  <c r="AM32" i="10" s="1"/>
  <c r="V7" i="10"/>
  <c r="G7" i="10" s="1"/>
  <c r="L8" i="9"/>
  <c r="AN6" i="10" s="1"/>
  <c r="J8" i="9"/>
  <c r="AL6" i="10" s="1"/>
  <c r="V9" i="9"/>
  <c r="K9" i="9"/>
  <c r="AM5" i="10" s="1"/>
  <c r="L9" i="9"/>
  <c r="AN5" i="10" s="1"/>
  <c r="J9" i="9"/>
  <c r="AL5" i="10" s="1"/>
  <c r="S6" i="9"/>
  <c r="Q40" i="9" s="1"/>
  <c r="P221" i="3"/>
  <c r="J209" i="3"/>
  <c r="F221" i="3"/>
  <c r="K221" i="3" s="1"/>
  <c r="X6" i="10"/>
  <c r="X15" i="10"/>
  <c r="H204" i="3"/>
  <c r="H221" i="3"/>
  <c r="AZ5" i="10"/>
  <c r="X5" i="10"/>
  <c r="X24" i="10"/>
  <c r="F40" i="3"/>
  <c r="U35" i="10" s="1"/>
  <c r="T35" i="10"/>
  <c r="T22" i="10"/>
  <c r="T24" i="10"/>
  <c r="S27" i="10"/>
  <c r="E27" i="10" s="1"/>
  <c r="H25" i="3"/>
  <c r="W22" i="10" s="1"/>
  <c r="F25" i="3"/>
  <c r="M25" i="3" s="1"/>
  <c r="G29" i="3"/>
  <c r="J29" i="3" s="1"/>
  <c r="X27" i="10"/>
  <c r="BA17" i="10"/>
  <c r="AY17" i="10"/>
  <c r="AZ17" i="10"/>
  <c r="BC17" i="10"/>
  <c r="J17" i="10" s="1"/>
  <c r="BC34" i="10"/>
  <c r="J34" i="10" s="1"/>
  <c r="AY34" i="10"/>
  <c r="BA34" i="10"/>
  <c r="AZ34" i="10"/>
  <c r="X17" i="10"/>
  <c r="BC4" i="10"/>
  <c r="J4" i="10" s="1"/>
  <c r="BA4" i="10"/>
  <c r="AY4" i="10"/>
  <c r="AZ4" i="10"/>
  <c r="BA7" i="10"/>
  <c r="AZ7" i="10"/>
  <c r="BC7" i="10"/>
  <c r="J7" i="10" s="1"/>
  <c r="AY7" i="10"/>
  <c r="BA9" i="10"/>
  <c r="AZ9" i="10"/>
  <c r="BC9" i="10"/>
  <c r="J9" i="10" s="1"/>
  <c r="AY9" i="10"/>
  <c r="BA29" i="10"/>
  <c r="BC29" i="10"/>
  <c r="J29" i="10" s="1"/>
  <c r="AY29" i="10"/>
  <c r="AZ29" i="10"/>
  <c r="BA5" i="10"/>
  <c r="AJ15" i="10"/>
  <c r="AK34" i="10"/>
  <c r="I34" i="10" s="1"/>
  <c r="AJ9" i="10"/>
  <c r="V22" i="10"/>
  <c r="G22" i="10" s="1"/>
  <c r="H21" i="8"/>
  <c r="BC10" i="10"/>
  <c r="J10" i="10" s="1"/>
  <c r="BC8" i="10"/>
  <c r="J8" i="10" s="1"/>
  <c r="K13" i="10"/>
  <c r="J6" i="10"/>
  <c r="AJ17" i="10"/>
  <c r="AG17" i="10"/>
  <c r="AI17" i="10"/>
  <c r="AK17" i="10"/>
  <c r="I17" i="10" s="1"/>
  <c r="AH17" i="10"/>
  <c r="AJ10" i="10"/>
  <c r="M221" i="3"/>
  <c r="O202" i="3"/>
  <c r="J202" i="3"/>
  <c r="G212" i="3"/>
  <c r="G202" i="3"/>
  <c r="J217" i="3"/>
  <c r="H29" i="3"/>
  <c r="P209" i="3"/>
  <c r="G229" i="3"/>
  <c r="H209" i="3"/>
  <c r="M209" i="3"/>
  <c r="H217" i="3"/>
  <c r="P217" i="3"/>
  <c r="G204" i="3"/>
  <c r="G209" i="3"/>
  <c r="G221" i="3"/>
  <c r="O221" i="3"/>
  <c r="O209" i="3"/>
  <c r="F217" i="3"/>
  <c r="K217" i="3" s="1"/>
  <c r="S13" i="10"/>
  <c r="E13" i="10" s="1"/>
  <c r="S28" i="10"/>
  <c r="E28" i="10" s="1"/>
  <c r="G41" i="3"/>
  <c r="O41" i="3" s="1"/>
  <c r="P41" i="3" s="1"/>
  <c r="K8" i="10"/>
  <c r="AS13" i="10"/>
  <c r="AR13" i="10"/>
  <c r="AP13" i="10"/>
  <c r="AK13" i="10"/>
  <c r="I13" i="10" s="1"/>
  <c r="AR8" i="10"/>
  <c r="AS8" i="10"/>
  <c r="AJ8" i="10"/>
  <c r="AQ8" i="10"/>
  <c r="AH8" i="10"/>
  <c r="AQ22" i="10"/>
  <c r="AR22" i="10"/>
  <c r="AP22" i="10"/>
  <c r="AQ28" i="10"/>
  <c r="AR28" i="10"/>
  <c r="AP28" i="10"/>
  <c r="AI6" i="10"/>
  <c r="AI28" i="10"/>
  <c r="AJ22" i="10"/>
  <c r="AF13" i="10"/>
  <c r="AH6" i="10"/>
  <c r="AI24" i="10"/>
  <c r="AJ24" i="10"/>
  <c r="AH28" i="10"/>
  <c r="AI22" i="10"/>
  <c r="AH5" i="10"/>
  <c r="AU24" i="10"/>
  <c r="H24" i="10" s="1"/>
  <c r="AG6" i="10"/>
  <c r="AG28" i="10"/>
  <c r="AH22" i="10"/>
  <c r="AP17" i="10"/>
  <c r="AG27" i="10"/>
  <c r="AG24" i="10"/>
  <c r="AJ6" i="10"/>
  <c r="AK24" i="10"/>
  <c r="I24" i="10" s="1"/>
  <c r="AN22" i="10"/>
  <c r="AG22" i="10"/>
  <c r="X22" i="10"/>
  <c r="AR17" i="10"/>
  <c r="AP27" i="10"/>
  <c r="K10" i="10"/>
  <c r="K6" i="10"/>
  <c r="AR15" i="10"/>
  <c r="AQ15" i="10"/>
  <c r="AP15" i="10"/>
  <c r="AD4" i="10"/>
  <c r="AI4" i="10" s="1"/>
  <c r="AI7" i="10"/>
  <c r="AJ7" i="10"/>
  <c r="AM15" i="10"/>
  <c r="J19" i="10"/>
  <c r="AS6" i="10"/>
  <c r="AR6" i="10"/>
  <c r="AQ6" i="10"/>
  <c r="AD29" i="10"/>
  <c r="AL29" i="10" s="1"/>
  <c r="X29" i="10"/>
  <c r="AS34" i="10"/>
  <c r="AG34" i="10"/>
  <c r="AR34" i="10"/>
  <c r="AQ34" i="10"/>
  <c r="AS24" i="10"/>
  <c r="AR24" i="10"/>
  <c r="AQ24" i="10"/>
  <c r="AR19" i="10"/>
  <c r="AQ19" i="10"/>
  <c r="AP19" i="10"/>
  <c r="J28" i="10"/>
  <c r="AS7" i="10"/>
  <c r="AK7" i="10"/>
  <c r="I7" i="10" s="1"/>
  <c r="AR7" i="10"/>
  <c r="AG7" i="10"/>
  <c r="AQ7" i="10"/>
  <c r="AH7" i="10"/>
  <c r="AH15" i="10"/>
  <c r="J11" i="10"/>
  <c r="J27" i="10"/>
  <c r="X4" i="10"/>
  <c r="AS27" i="10"/>
  <c r="AN27" i="10"/>
  <c r="AJ27" i="10"/>
  <c r="AR27" i="10"/>
  <c r="AI27" i="10"/>
  <c r="AQ27" i="10"/>
  <c r="AH27" i="10"/>
  <c r="AD11" i="10"/>
  <c r="AI11" i="10" s="1"/>
  <c r="X11" i="10"/>
  <c r="AQ5" i="10"/>
  <c r="AP5" i="10"/>
  <c r="AK5" i="10"/>
  <c r="I5" i="10" s="1"/>
  <c r="AG5" i="10"/>
  <c r="AS5" i="10"/>
  <c r="AF15" i="10"/>
  <c r="J15" i="10"/>
  <c r="J18" i="10"/>
  <c r="J24" i="10"/>
  <c r="AQ10" i="10"/>
  <c r="AP10" i="10"/>
  <c r="AI10" i="10"/>
  <c r="AS10" i="10"/>
  <c r="AR9" i="10"/>
  <c r="AQ9" i="10"/>
  <c r="AP9" i="10"/>
  <c r="AP7" i="10"/>
  <c r="AK19" i="10"/>
  <c r="I19" i="10" s="1"/>
  <c r="AK27" i="10"/>
  <c r="I27" i="10" s="1"/>
  <c r="AD18" i="10"/>
  <c r="AG18" i="10" s="1"/>
  <c r="X18" i="10"/>
  <c r="S18" i="10"/>
  <c r="E18" i="10" s="1"/>
  <c r="AS15" i="10"/>
  <c r="AG15" i="10"/>
  <c r="AH34" i="10"/>
  <c r="AK9" i="10"/>
  <c r="I9" i="10" s="1"/>
  <c r="AG9" i="10"/>
  <c r="K22" i="10"/>
  <c r="J22" i="10"/>
  <c r="AI13" i="10"/>
  <c r="AQ13" i="10"/>
  <c r="AU13" i="10"/>
  <c r="H13" i="10" s="1"/>
  <c r="AG8" i="10"/>
  <c r="AK8" i="10"/>
  <c r="I8" i="10" s="1"/>
  <c r="AP8" i="10"/>
  <c r="AI5" i="10"/>
  <c r="AS17" i="10"/>
  <c r="AS22" i="10"/>
  <c r="AS28" i="10"/>
  <c r="AK18" i="10"/>
  <c r="I18" i="10" s="1"/>
  <c r="S15" i="10"/>
  <c r="E15" i="10" s="1"/>
  <c r="AF22" i="10"/>
  <c r="AI15" i="10"/>
  <c r="AJ34" i="10"/>
  <c r="AI9" i="10"/>
  <c r="AJ19" i="10"/>
  <c r="AG13" i="10"/>
  <c r="AH13" i="10"/>
  <c r="AI8" i="10"/>
  <c r="AK10" i="10"/>
  <c r="I10" i="10" s="1"/>
  <c r="AF34" i="10"/>
  <c r="S7" i="10"/>
  <c r="E7" i="10" s="1"/>
  <c r="F200" i="3"/>
  <c r="K200" i="3" s="1"/>
  <c r="G198" i="3"/>
  <c r="O200" i="3"/>
  <c r="J199" i="3"/>
  <c r="H229" i="3"/>
  <c r="G200" i="3"/>
  <c r="M228" i="3"/>
  <c r="V8" i="9"/>
  <c r="S31" i="9"/>
  <c r="U5" i="9"/>
  <c r="K31" i="9"/>
  <c r="AM33" i="10" s="1"/>
  <c r="U31" i="9"/>
  <c r="AJ5" i="10"/>
  <c r="J6" i="9"/>
  <c r="AK6" i="10"/>
  <c r="I6" i="10" s="1"/>
  <c r="S9" i="9"/>
  <c r="Q43" i="9" s="1"/>
  <c r="L6" i="9"/>
  <c r="U6" i="9"/>
  <c r="U9" i="9"/>
  <c r="L31" i="9"/>
  <c r="AN33" i="10" s="1"/>
  <c r="AH10" i="10"/>
  <c r="U34" i="9"/>
  <c r="L16" i="9"/>
  <c r="V25" i="9"/>
  <c r="K16" i="9"/>
  <c r="AN34" i="10"/>
  <c r="U7" i="9"/>
  <c r="W15" i="9"/>
  <c r="S34" i="9"/>
  <c r="Q64" i="9" s="1"/>
  <c r="AH9" i="10"/>
  <c r="S16" i="9"/>
  <c r="Q46" i="9" s="1"/>
  <c r="V16" i="9"/>
  <c r="U25" i="9"/>
  <c r="U36" i="9"/>
  <c r="K34" i="9"/>
  <c r="K36" i="9"/>
  <c r="J16" i="9"/>
  <c r="U32" i="9"/>
  <c r="V7" i="9"/>
  <c r="AU34" i="10"/>
  <c r="H34" i="10" s="1"/>
  <c r="S36" i="9"/>
  <c r="Q66" i="9" s="1"/>
  <c r="U35" i="9"/>
  <c r="V34" i="9"/>
  <c r="L34" i="9"/>
  <c r="AN28" i="10" s="1"/>
  <c r="K32" i="9"/>
  <c r="AM27" i="10" s="1"/>
  <c r="AJ28" i="10"/>
  <c r="AL34" i="10"/>
  <c r="K7" i="9"/>
  <c r="J36" i="9"/>
  <c r="J35" i="9"/>
  <c r="J34" i="9"/>
  <c r="AL28" i="10" s="1"/>
  <c r="AJ13" i="10"/>
  <c r="L15" i="9"/>
  <c r="AN13" i="10" s="1"/>
  <c r="AH24" i="10"/>
  <c r="AK28" i="10"/>
  <c r="I28" i="10" s="1"/>
  <c r="AH19" i="10"/>
  <c r="J29" i="9"/>
  <c r="AL32" i="10" s="1"/>
  <c r="J25" i="9"/>
  <c r="U29" i="9"/>
  <c r="W29" i="9" s="1"/>
  <c r="L25" i="9"/>
  <c r="V15" i="9"/>
  <c r="K15" i="9"/>
  <c r="AM13" i="10" s="1"/>
  <c r="AK22" i="10"/>
  <c r="I22" i="10" s="1"/>
  <c r="L29" i="9"/>
  <c r="AN32" i="10" s="1"/>
  <c r="AK15" i="10"/>
  <c r="I15" i="10" s="1"/>
  <c r="AM24" i="10"/>
  <c r="L36" i="9"/>
  <c r="W35" i="9"/>
  <c r="T7" i="10"/>
  <c r="H208" i="3"/>
  <c r="M208" i="3"/>
  <c r="F208" i="3"/>
  <c r="K208" i="3" s="1"/>
  <c r="M199" i="3"/>
  <c r="G228" i="3"/>
  <c r="F230" i="3"/>
  <c r="K230" i="3" s="1"/>
  <c r="M230" i="3"/>
  <c r="J208" i="3"/>
  <c r="H210" i="3"/>
  <c r="F204" i="3"/>
  <c r="K204" i="3" s="1"/>
  <c r="S17" i="10"/>
  <c r="E17" i="10" s="1"/>
  <c r="T19" i="10"/>
  <c r="F26" i="3"/>
  <c r="H40" i="3"/>
  <c r="W35" i="10" s="1"/>
  <c r="T13" i="10"/>
  <c r="J212" i="3"/>
  <c r="H212" i="3"/>
  <c r="J230" i="3"/>
  <c r="G215" i="3"/>
  <c r="H230" i="3"/>
  <c r="G21" i="3"/>
  <c r="V13" i="10" s="1"/>
  <c r="G13" i="10" s="1"/>
  <c r="S5" i="10"/>
  <c r="E5" i="10" s="1"/>
  <c r="T18" i="10"/>
  <c r="G26" i="3"/>
  <c r="V23" i="10" s="1"/>
  <c r="G23" i="10" s="1"/>
  <c r="G30" i="3"/>
  <c r="G40" i="3"/>
  <c r="K30" i="3"/>
  <c r="S22" i="10"/>
  <c r="E22" i="10" s="1"/>
  <c r="O225" i="3"/>
  <c r="M201" i="3"/>
  <c r="F212" i="3"/>
  <c r="K212" i="3" s="1"/>
  <c r="S6" i="10"/>
  <c r="E6" i="10" s="1"/>
  <c r="S29" i="10"/>
  <c r="E29" i="10" s="1"/>
  <c r="F19" i="3"/>
  <c r="S11" i="10"/>
  <c r="E11" i="10" s="1"/>
  <c r="S9" i="10"/>
  <c r="E9" i="10" s="1"/>
  <c r="S19" i="10"/>
  <c r="E19" i="10" s="1"/>
  <c r="G199" i="3"/>
  <c r="J204" i="3"/>
  <c r="H199" i="3"/>
  <c r="P21" i="3"/>
  <c r="H21" i="3"/>
  <c r="H19" i="3"/>
  <c r="W33" i="10" s="1"/>
  <c r="G18" i="3"/>
  <c r="J18" i="3" s="1"/>
  <c r="S24" i="10"/>
  <c r="E24" i="10" s="1"/>
  <c r="G35" i="3"/>
  <c r="H30" i="3"/>
  <c r="F207" i="3"/>
  <c r="K207" i="3" s="1"/>
  <c r="P207" i="3"/>
  <c r="T29" i="10"/>
  <c r="K210" i="3"/>
  <c r="O216" i="3"/>
  <c r="M207" i="3"/>
  <c r="H203" i="3"/>
  <c r="H227" i="3"/>
  <c r="O207" i="3"/>
  <c r="M227" i="3"/>
  <c r="O229" i="3"/>
  <c r="J229" i="3"/>
  <c r="M229" i="3"/>
  <c r="P229" i="3"/>
  <c r="M198" i="3"/>
  <c r="K198" i="3"/>
  <c r="H198" i="3"/>
  <c r="J198" i="3"/>
  <c r="F228" i="3"/>
  <c r="K228" i="3" s="1"/>
  <c r="H228" i="3"/>
  <c r="K21" i="3"/>
  <c r="T8" i="10"/>
  <c r="G15" i="3"/>
  <c r="V10" i="10" s="1"/>
  <c r="G10" i="10" s="1"/>
  <c r="F15" i="3"/>
  <c r="K15" i="3" s="1"/>
  <c r="H15" i="3"/>
  <c r="T9" i="10"/>
  <c r="P211" i="3"/>
  <c r="G211" i="3"/>
  <c r="M211" i="3"/>
  <c r="M225" i="3"/>
  <c r="F225" i="3"/>
  <c r="K225" i="3" s="1"/>
  <c r="G225" i="3"/>
  <c r="P225" i="3"/>
  <c r="F216" i="3"/>
  <c r="K216" i="3" s="1"/>
  <c r="M216" i="3"/>
  <c r="J216" i="3"/>
  <c r="J227" i="3"/>
  <c r="O227" i="3"/>
  <c r="F227" i="3"/>
  <c r="K227" i="3" s="1"/>
  <c r="G207" i="3"/>
  <c r="H211" i="3"/>
  <c r="G203" i="3"/>
  <c r="F203" i="3"/>
  <c r="K203" i="3" s="1"/>
  <c r="P203" i="3"/>
  <c r="F201" i="3"/>
  <c r="K201" i="3" s="1"/>
  <c r="H201" i="3"/>
  <c r="G201" i="3"/>
  <c r="O215" i="3"/>
  <c r="H215" i="3"/>
  <c r="P215" i="3"/>
  <c r="F215" i="3"/>
  <c r="K215" i="3" s="1"/>
  <c r="J215" i="3"/>
  <c r="M210" i="3"/>
  <c r="J210" i="3"/>
  <c r="G210" i="3"/>
  <c r="M224" i="3"/>
  <c r="G224" i="3"/>
  <c r="H224" i="3"/>
  <c r="F9" i="3"/>
  <c r="K9" i="3" s="1"/>
  <c r="T15" i="10"/>
  <c r="M203" i="3"/>
  <c r="P200" i="3"/>
  <c r="H200" i="3"/>
  <c r="H207" i="3"/>
  <c r="F211" i="3"/>
  <c r="K211" i="3" s="1"/>
  <c r="J225" i="3"/>
  <c r="J207" i="3"/>
  <c r="H216" i="3"/>
  <c r="J200" i="3"/>
  <c r="G227" i="3"/>
  <c r="O203" i="3"/>
  <c r="O224" i="3"/>
  <c r="G6" i="3"/>
  <c r="F6" i="3"/>
  <c r="K6" i="3" s="1"/>
  <c r="Z4" i="10" s="1"/>
  <c r="H6" i="3"/>
  <c r="W4" i="10" s="1"/>
  <c r="T4" i="10"/>
  <c r="G27" i="3"/>
  <c r="V27" i="10" s="1"/>
  <c r="G27" i="10" s="1"/>
  <c r="F27" i="3"/>
  <c r="K27" i="3" s="1"/>
  <c r="Z11" i="10" s="1"/>
  <c r="H27" i="3"/>
  <c r="T11" i="10"/>
  <c r="P29" i="3"/>
  <c r="U19" i="10"/>
  <c r="K29" i="3"/>
  <c r="K18" i="3"/>
  <c r="H18" i="3"/>
  <c r="T10" i="10"/>
  <c r="H14" i="3"/>
  <c r="F14" i="3"/>
  <c r="M14" i="3" s="1"/>
  <c r="J48" i="3" s="1"/>
  <c r="K41" i="3"/>
  <c r="T27" i="10"/>
  <c r="H41" i="3"/>
  <c r="T17" i="10"/>
  <c r="H8" i="3"/>
  <c r="F8" i="3"/>
  <c r="M8" i="3" s="1"/>
  <c r="J47" i="3" s="1"/>
  <c r="T6" i="10"/>
  <c r="H9" i="3"/>
  <c r="W6" i="10" s="1"/>
  <c r="K35" i="3"/>
  <c r="U28" i="10"/>
  <c r="P35" i="3"/>
  <c r="T28" i="10"/>
  <c r="H35" i="3"/>
  <c r="W24" i="10" s="1"/>
  <c r="V5" i="10"/>
  <c r="G5" i="10" s="1"/>
  <c r="T5" i="10"/>
  <c r="H7" i="3"/>
  <c r="W5" i="10" s="1"/>
  <c r="F7" i="3"/>
  <c r="K7" i="3" s="1"/>
  <c r="Z5" i="10" s="1"/>
  <c r="T34" i="10"/>
  <c r="AU8" i="10" l="1"/>
  <c r="H8" i="10" s="1"/>
  <c r="W192" i="9"/>
  <c r="AU32" i="10"/>
  <c r="H32" i="10" s="1"/>
  <c r="M32" i="10" s="1"/>
  <c r="N32" i="10" s="1"/>
  <c r="Q59" i="9"/>
  <c r="AU27" i="10"/>
  <c r="H27" i="10" s="1"/>
  <c r="Q62" i="9"/>
  <c r="CV24" i="12"/>
  <c r="DP24" i="12"/>
  <c r="Q42" i="9"/>
  <c r="AU33" i="10"/>
  <c r="H33" i="10" s="1"/>
  <c r="Q61" i="9"/>
  <c r="AU6" i="10"/>
  <c r="Q41" i="9"/>
  <c r="DP9" i="12"/>
  <c r="CX28" i="12"/>
  <c r="CW33" i="12"/>
  <c r="CV13" i="12"/>
  <c r="DP13" i="12"/>
  <c r="DP17" i="12"/>
  <c r="DP34" i="12"/>
  <c r="CV18" i="12"/>
  <c r="DP18" i="12"/>
  <c r="CX21" i="12"/>
  <c r="DP20" i="12"/>
  <c r="DP25" i="12"/>
  <c r="CW14" i="12"/>
  <c r="CV15" i="12"/>
  <c r="DP15" i="12"/>
  <c r="CX30" i="12"/>
  <c r="CW4" i="12"/>
  <c r="DP3" i="12"/>
  <c r="DP5" i="12"/>
  <c r="DP12" i="12"/>
  <c r="CW26" i="12"/>
  <c r="CX16" i="12"/>
  <c r="CV19" i="12"/>
  <c r="DP19" i="12"/>
  <c r="CW34" i="12"/>
  <c r="DP32" i="12"/>
  <c r="CW20" i="12"/>
  <c r="CW25" i="12"/>
  <c r="DP10" i="12"/>
  <c r="CV23" i="12"/>
  <c r="DP23" i="12"/>
  <c r="CV11" i="12"/>
  <c r="DP11" i="12"/>
  <c r="CX17" i="12"/>
  <c r="DP7" i="12"/>
  <c r="CX5" i="12"/>
  <c r="CW12" i="12"/>
  <c r="DP22" i="12"/>
  <c r="CW32" i="12"/>
  <c r="DP16" i="12"/>
  <c r="CX9" i="12"/>
  <c r="DP21" i="12"/>
  <c r="CW10" i="12"/>
  <c r="CV31" i="12"/>
  <c r="DP31" i="12"/>
  <c r="DP6" i="12"/>
  <c r="DP8" i="12"/>
  <c r="DP30" i="12"/>
  <c r="DP33" i="12"/>
  <c r="DP28" i="12"/>
  <c r="CW22" i="12"/>
  <c r="CV27" i="12"/>
  <c r="DP27" i="12"/>
  <c r="CV29" i="12"/>
  <c r="DP29" i="12"/>
  <c r="CX3" i="12"/>
  <c r="CX7" i="12"/>
  <c r="DP14" i="12"/>
  <c r="DP4" i="12"/>
  <c r="CW6" i="12"/>
  <c r="CW8" i="12"/>
  <c r="M6" i="3"/>
  <c r="J44" i="3" s="1"/>
  <c r="AB22" i="10"/>
  <c r="F22" i="10" s="1"/>
  <c r="J58" i="3"/>
  <c r="W204" i="9"/>
  <c r="W6" i="9"/>
  <c r="V17" i="10"/>
  <c r="G17" i="10" s="1"/>
  <c r="AF19" i="10"/>
  <c r="AF32" i="10"/>
  <c r="W7" i="9"/>
  <c r="AU22" i="10"/>
  <c r="H22" i="10" s="1"/>
  <c r="AU35" i="10"/>
  <c r="H35" i="10" s="1"/>
  <c r="AM22" i="10"/>
  <c r="AM35" i="10"/>
  <c r="AL22" i="10"/>
  <c r="AL35" i="10"/>
  <c r="M19" i="3"/>
  <c r="U33" i="10"/>
  <c r="W8" i="9"/>
  <c r="W196" i="9"/>
  <c r="W181" i="9"/>
  <c r="AL18" i="10"/>
  <c r="W5" i="9"/>
  <c r="AN7" i="10"/>
  <c r="K26" i="3"/>
  <c r="Z23" i="10" s="1"/>
  <c r="U23" i="10"/>
  <c r="AF18" i="10"/>
  <c r="AI29" i="10"/>
  <c r="P40" i="3"/>
  <c r="AL4" i="10"/>
  <c r="AF4" i="10"/>
  <c r="M18" i="3"/>
  <c r="AN4" i="10"/>
  <c r="AJ4" i="10"/>
  <c r="AM4" i="10"/>
  <c r="AH4" i="10"/>
  <c r="AK4" i="10"/>
  <c r="I4" i="10" s="1"/>
  <c r="AG4" i="10"/>
  <c r="K5" i="10"/>
  <c r="AU19" i="10"/>
  <c r="H19" i="10" s="1"/>
  <c r="AH18" i="10"/>
  <c r="AK29" i="10"/>
  <c r="I29" i="10" s="1"/>
  <c r="AF29" i="10"/>
  <c r="AU4" i="10"/>
  <c r="H4" i="10" s="1"/>
  <c r="AH29" i="10"/>
  <c r="AN18" i="10"/>
  <c r="W197" i="9"/>
  <c r="V28" i="10"/>
  <c r="G28" i="10" s="1"/>
  <c r="K40" i="3"/>
  <c r="Z35" i="10" s="1"/>
  <c r="K29" i="10"/>
  <c r="K9" i="10"/>
  <c r="W16" i="9"/>
  <c r="AU29" i="10"/>
  <c r="H29" i="10" s="1"/>
  <c r="AU9" i="10"/>
  <c r="H9" i="10" s="1"/>
  <c r="W9" i="9"/>
  <c r="AU7" i="10"/>
  <c r="H7" i="10" s="1"/>
  <c r="AN9" i="10"/>
  <c r="AM9" i="10"/>
  <c r="AM28" i="10"/>
  <c r="AL10" i="10"/>
  <c r="AN24" i="10"/>
  <c r="AU28" i="10"/>
  <c r="H28" i="10" s="1"/>
  <c r="AM18" i="10"/>
  <c r="W10" i="10"/>
  <c r="W11" i="10"/>
  <c r="V18" i="10"/>
  <c r="G18" i="10" s="1"/>
  <c r="AL19" i="10"/>
  <c r="AM19" i="10"/>
  <c r="AN29" i="10"/>
  <c r="AN10" i="10"/>
  <c r="AM10" i="10"/>
  <c r="AL24" i="10"/>
  <c r="AL15" i="10"/>
  <c r="M29" i="3"/>
  <c r="AU15" i="10"/>
  <c r="H15" i="10" s="1"/>
  <c r="W31" i="9"/>
  <c r="O29" i="3"/>
  <c r="AU10" i="10"/>
  <c r="H10" i="10" s="1"/>
  <c r="AN19" i="10"/>
  <c r="Z28" i="10"/>
  <c r="AN15" i="10"/>
  <c r="AL9" i="10"/>
  <c r="AM17" i="10"/>
  <c r="AM7" i="10"/>
  <c r="AU18" i="10"/>
  <c r="H18" i="10" s="1"/>
  <c r="J9" i="3"/>
  <c r="Y6" i="10" s="1"/>
  <c r="W7" i="10"/>
  <c r="AN17" i="10"/>
  <c r="AU17" i="10"/>
  <c r="H17" i="10" s="1"/>
  <c r="AL17" i="10"/>
  <c r="AL13" i="10"/>
  <c r="AU5" i="10"/>
  <c r="H5" i="10" s="1"/>
  <c r="S37" i="9"/>
  <c r="W34" i="10"/>
  <c r="W17" i="10"/>
  <c r="Z24" i="10"/>
  <c r="W9" i="10"/>
  <c r="AB7" i="10"/>
  <c r="F7" i="10" s="1"/>
  <c r="AZ36" i="10"/>
  <c r="W19" i="10"/>
  <c r="M35" i="3"/>
  <c r="J68" i="3" s="1"/>
  <c r="U27" i="10"/>
  <c r="AY36" i="10"/>
  <c r="V34" i="10"/>
  <c r="G34" i="10" s="1"/>
  <c r="W29" i="10"/>
  <c r="AL11" i="10"/>
  <c r="W15" i="10"/>
  <c r="W13" i="10"/>
  <c r="AB15" i="10"/>
  <c r="F15" i="10" s="1"/>
  <c r="U22" i="10"/>
  <c r="U13" i="10"/>
  <c r="U15" i="10"/>
  <c r="Z27" i="10"/>
  <c r="Z19" i="10"/>
  <c r="V11" i="10"/>
  <c r="G11" i="10" s="1"/>
  <c r="Y15" i="10"/>
  <c r="K25" i="3"/>
  <c r="Z22" i="10" s="1"/>
  <c r="W8" i="10"/>
  <c r="Z13" i="10"/>
  <c r="J40" i="3"/>
  <c r="Y35" i="10" s="1"/>
  <c r="V35" i="10"/>
  <c r="G35" i="10" s="1"/>
  <c r="J25" i="3"/>
  <c r="Y22" i="10" s="1"/>
  <c r="Z18" i="10"/>
  <c r="W28" i="10"/>
  <c r="W27" i="10"/>
  <c r="V15" i="10"/>
  <c r="G15" i="10" s="1"/>
  <c r="O25" i="3"/>
  <c r="P25" i="3" s="1"/>
  <c r="Z8" i="10"/>
  <c r="W18" i="10"/>
  <c r="V24" i="10"/>
  <c r="G24" i="10" s="1"/>
  <c r="V19" i="10"/>
  <c r="G19" i="10" s="1"/>
  <c r="H6" i="10"/>
  <c r="K4" i="10"/>
  <c r="BA36" i="10"/>
  <c r="BC36" i="10"/>
  <c r="BC37" i="10" s="1"/>
  <c r="J41" i="3"/>
  <c r="M41" i="3"/>
  <c r="O18" i="3"/>
  <c r="P18" i="3" s="1"/>
  <c r="U18" i="10"/>
  <c r="O40" i="3"/>
  <c r="M40" i="3"/>
  <c r="K7" i="10"/>
  <c r="K15" i="10"/>
  <c r="AM29" i="10"/>
  <c r="K18" i="10"/>
  <c r="K28" i="10"/>
  <c r="K34" i="10"/>
  <c r="K17" i="10"/>
  <c r="AH11" i="10"/>
  <c r="AG11" i="10"/>
  <c r="AF11" i="10"/>
  <c r="AG29" i="10"/>
  <c r="K24" i="10"/>
  <c r="K27" i="10"/>
  <c r="K11" i="10"/>
  <c r="AJ29" i="10"/>
  <c r="AP4" i="10"/>
  <c r="AS4" i="10"/>
  <c r="AR4" i="10"/>
  <c r="AQ4" i="10"/>
  <c r="AS11" i="10"/>
  <c r="AR11" i="10"/>
  <c r="AK11" i="10"/>
  <c r="I11" i="10" s="1"/>
  <c r="AQ11" i="10"/>
  <c r="AJ11" i="10"/>
  <c r="AP11" i="10"/>
  <c r="AM11" i="10"/>
  <c r="AN11" i="10"/>
  <c r="AU11" i="10"/>
  <c r="H11" i="10" s="1"/>
  <c r="AS18" i="10"/>
  <c r="AR18" i="10"/>
  <c r="AJ18" i="10"/>
  <c r="AQ18" i="10"/>
  <c r="AP18" i="10"/>
  <c r="AI18" i="10"/>
  <c r="AP29" i="10"/>
  <c r="AS29" i="10"/>
  <c r="AR29" i="10"/>
  <c r="AQ29" i="10"/>
  <c r="K19" i="10"/>
  <c r="O21" i="3"/>
  <c r="J21" i="3"/>
  <c r="J26" i="3"/>
  <c r="Y23" i="10" s="1"/>
  <c r="O26" i="3"/>
  <c r="P26" i="3" s="1"/>
  <c r="M21" i="3"/>
  <c r="W25" i="9"/>
  <c r="O35" i="3"/>
  <c r="J27" i="3"/>
  <c r="O30" i="3"/>
  <c r="P30" i="3" s="1"/>
  <c r="V6" i="10"/>
  <c r="G6" i="10" s="1"/>
  <c r="M30" i="3"/>
  <c r="J64" i="3" s="1"/>
  <c r="J30" i="3"/>
  <c r="J35" i="3"/>
  <c r="Y28" i="10" s="1"/>
  <c r="U24" i="10"/>
  <c r="M26" i="3"/>
  <c r="J19" i="3"/>
  <c r="Y33" i="10" s="1"/>
  <c r="O7" i="3"/>
  <c r="P7" i="3" s="1"/>
  <c r="U7" i="10"/>
  <c r="O19" i="3"/>
  <c r="P19" i="3" s="1"/>
  <c r="K19" i="3"/>
  <c r="Z33" i="10" s="1"/>
  <c r="U6" i="10"/>
  <c r="O9" i="3"/>
  <c r="P9" i="3" s="1"/>
  <c r="M27" i="3"/>
  <c r="J61" i="3" s="1"/>
  <c r="O27" i="3"/>
  <c r="V9" i="10"/>
  <c r="G9" i="10" s="1"/>
  <c r="O15" i="3"/>
  <c r="P15" i="3" s="1"/>
  <c r="M15" i="3"/>
  <c r="U29" i="10"/>
  <c r="U4" i="10"/>
  <c r="J6" i="3"/>
  <c r="Y4" i="10" s="1"/>
  <c r="Z6" i="10"/>
  <c r="M9" i="3"/>
  <c r="J46" i="3" s="1"/>
  <c r="O6" i="3"/>
  <c r="P6" i="3" s="1"/>
  <c r="V4" i="10"/>
  <c r="G4" i="10" s="1"/>
  <c r="V8" i="10"/>
  <c r="G8" i="10" s="1"/>
  <c r="U11" i="10"/>
  <c r="P27" i="3"/>
  <c r="U8" i="10"/>
  <c r="Y8" i="10"/>
  <c r="K8" i="3"/>
  <c r="U9" i="10"/>
  <c r="J15" i="3"/>
  <c r="AB29" i="10"/>
  <c r="F29" i="10" s="1"/>
  <c r="V29" i="10"/>
  <c r="G29" i="10" s="1"/>
  <c r="AB4" i="10"/>
  <c r="K14" i="3"/>
  <c r="Z10" i="10" s="1"/>
  <c r="U10" i="10"/>
  <c r="J14" i="3"/>
  <c r="O14" i="3"/>
  <c r="P14" i="3" s="1"/>
  <c r="U17" i="10"/>
  <c r="J8" i="3"/>
  <c r="O8" i="3"/>
  <c r="P8" i="3" s="1"/>
  <c r="U5" i="10"/>
  <c r="M7" i="3"/>
  <c r="J7" i="3"/>
  <c r="Y5" i="10" s="1"/>
  <c r="Z34" i="10"/>
  <c r="U34" i="10"/>
  <c r="CW24" i="12" l="1"/>
  <c r="DQ24" i="12"/>
  <c r="J59" i="3"/>
  <c r="J60" i="3"/>
  <c r="J63" i="3"/>
  <c r="J62" i="3"/>
  <c r="DQ8" i="12"/>
  <c r="DQ32" i="12"/>
  <c r="DQ10" i="12"/>
  <c r="DQ22" i="12"/>
  <c r="DQ34" i="12"/>
  <c r="DQ25" i="12"/>
  <c r="CY7" i="12"/>
  <c r="CY9" i="12"/>
  <c r="CX12" i="12"/>
  <c r="CW19" i="12"/>
  <c r="DQ19" i="12"/>
  <c r="CX26" i="12"/>
  <c r="DQ17" i="12"/>
  <c r="DQ14" i="12"/>
  <c r="DQ33" i="12"/>
  <c r="CX8" i="12"/>
  <c r="DQ30" i="12"/>
  <c r="CW29" i="12"/>
  <c r="DQ29" i="12"/>
  <c r="CX22" i="12"/>
  <c r="CX10" i="12"/>
  <c r="CX32" i="12"/>
  <c r="CY17" i="12"/>
  <c r="CW23" i="12"/>
  <c r="DQ23" i="12"/>
  <c r="CX25" i="12"/>
  <c r="CY30" i="12"/>
  <c r="CX14" i="12"/>
  <c r="CY21" i="12"/>
  <c r="CX33" i="12"/>
  <c r="DQ6" i="12"/>
  <c r="CY3" i="12"/>
  <c r="DQ7" i="12"/>
  <c r="CY5" i="12"/>
  <c r="DQ20" i="12"/>
  <c r="CX34" i="12"/>
  <c r="CY16" i="12"/>
  <c r="DQ5" i="12"/>
  <c r="DQ4" i="12"/>
  <c r="CX6" i="12"/>
  <c r="DQ21" i="12"/>
  <c r="CW27" i="12"/>
  <c r="DQ27" i="12"/>
  <c r="DQ28" i="12"/>
  <c r="CW31" i="12"/>
  <c r="DQ31" i="12"/>
  <c r="DQ3" i="12"/>
  <c r="DQ12" i="12"/>
  <c r="CW11" i="12"/>
  <c r="DQ11" i="12"/>
  <c r="DQ16" i="12"/>
  <c r="DQ9" i="12"/>
  <c r="CX20" i="12"/>
  <c r="DQ26" i="12"/>
  <c r="CX4" i="12"/>
  <c r="CW15" i="12"/>
  <c r="DQ15" i="12"/>
  <c r="CW18" i="12"/>
  <c r="DQ18" i="12"/>
  <c r="CW13" i="12"/>
  <c r="DQ13" i="12"/>
  <c r="CY28" i="12"/>
  <c r="M22" i="10"/>
  <c r="N22" i="10" s="1"/>
  <c r="AB9" i="10"/>
  <c r="F9" i="10" s="1"/>
  <c r="M9" i="10" s="1"/>
  <c r="N9" i="10" s="1"/>
  <c r="J49" i="3"/>
  <c r="AB5" i="10"/>
  <c r="F5" i="10" s="1"/>
  <c r="M5" i="10" s="1"/>
  <c r="N5" i="10" s="1"/>
  <c r="J45" i="3"/>
  <c r="AB8" i="10"/>
  <c r="F8" i="10" s="1"/>
  <c r="M8" i="10" s="1"/>
  <c r="N8" i="10" s="1"/>
  <c r="J52" i="3"/>
  <c r="AB17" i="10"/>
  <c r="F17" i="10" s="1"/>
  <c r="M17" i="10" s="1"/>
  <c r="N17" i="10" s="1"/>
  <c r="J54" i="3"/>
  <c r="AB35" i="10"/>
  <c r="F35" i="10" s="1"/>
  <c r="M35" i="10" s="1"/>
  <c r="N35" i="10" s="1"/>
  <c r="J75" i="3"/>
  <c r="AB34" i="10"/>
  <c r="F34" i="10" s="1"/>
  <c r="M34" i="10" s="1"/>
  <c r="N34" i="10" s="1"/>
  <c r="J74" i="3"/>
  <c r="AB33" i="10"/>
  <c r="F33" i="10" s="1"/>
  <c r="M33" i="10" s="1"/>
  <c r="N33" i="10" s="1"/>
  <c r="J70" i="3"/>
  <c r="F4" i="10"/>
  <c r="M4" i="10" s="1"/>
  <c r="N4" i="10" s="1"/>
  <c r="AB28" i="10"/>
  <c r="F28" i="10" s="1"/>
  <c r="M28" i="10" s="1"/>
  <c r="N28" i="10" s="1"/>
  <c r="AB24" i="10"/>
  <c r="F24" i="10" s="1"/>
  <c r="M24" i="10" s="1"/>
  <c r="N24" i="10" s="1"/>
  <c r="AB23" i="10"/>
  <c r="F23" i="10" s="1"/>
  <c r="M23" i="10" s="1"/>
  <c r="N23" i="10" s="1"/>
  <c r="AB19" i="10"/>
  <c r="F19" i="10" s="1"/>
  <c r="M19" i="10" s="1"/>
  <c r="N19" i="10" s="1"/>
  <c r="M7" i="10"/>
  <c r="N7" i="10" s="1"/>
  <c r="Y34" i="10"/>
  <c r="Y9" i="10"/>
  <c r="Y29" i="10"/>
  <c r="Z7" i="10"/>
  <c r="AB6" i="10"/>
  <c r="F6" i="10" s="1"/>
  <c r="M6" i="10" s="1"/>
  <c r="M42" i="3"/>
  <c r="Z17" i="10"/>
  <c r="AB10" i="10"/>
  <c r="F10" i="10" s="1"/>
  <c r="M10" i="10" s="1"/>
  <c r="N10" i="10" s="1"/>
  <c r="Z29" i="10"/>
  <c r="Y17" i="10"/>
  <c r="Y10" i="10"/>
  <c r="Y24" i="10"/>
  <c r="Y27" i="10"/>
  <c r="M15" i="10"/>
  <c r="N15" i="10" s="1"/>
  <c r="Y7" i="10"/>
  <c r="AB13" i="10"/>
  <c r="F13" i="10" s="1"/>
  <c r="M13" i="10" s="1"/>
  <c r="N13" i="10" s="1"/>
  <c r="Z9" i="10"/>
  <c r="AB27" i="10"/>
  <c r="F27" i="10" s="1"/>
  <c r="M27" i="10" s="1"/>
  <c r="N27" i="10" s="1"/>
  <c r="Z15" i="10"/>
  <c r="AB11" i="10"/>
  <c r="F11" i="10" s="1"/>
  <c r="M11" i="10" s="1"/>
  <c r="N11" i="10" s="1"/>
  <c r="Y11" i="10"/>
  <c r="Y18" i="10"/>
  <c r="AB18" i="10"/>
  <c r="F18" i="10" s="1"/>
  <c r="M18" i="10" s="1"/>
  <c r="N18" i="10" s="1"/>
  <c r="Y13" i="10"/>
  <c r="Y19" i="10"/>
  <c r="AU36" i="10"/>
  <c r="AU37" i="10" s="1"/>
  <c r="M29" i="10"/>
  <c r="N29" i="10" s="1"/>
  <c r="CX24" i="12" l="1"/>
  <c r="DR24" i="12"/>
  <c r="DR3" i="12"/>
  <c r="CX27" i="12"/>
  <c r="DR27" i="12"/>
  <c r="CY6" i="12"/>
  <c r="CZ16" i="12"/>
  <c r="CZ3" i="12"/>
  <c r="DR5" i="12"/>
  <c r="CY10" i="12"/>
  <c r="CX29" i="12"/>
  <c r="DR29" i="12"/>
  <c r="CY8" i="12"/>
  <c r="DR26" i="12"/>
  <c r="DR12" i="12"/>
  <c r="CX13" i="12"/>
  <c r="DR13" i="12"/>
  <c r="CX15" i="12"/>
  <c r="DR15" i="12"/>
  <c r="DR20" i="12"/>
  <c r="DR9" i="12"/>
  <c r="DR34" i="12"/>
  <c r="CZ5" i="12"/>
  <c r="CZ21" i="12"/>
  <c r="CZ30" i="12"/>
  <c r="CX23" i="12"/>
  <c r="DR23" i="12"/>
  <c r="DR32" i="12"/>
  <c r="DR22" i="12"/>
  <c r="CY26" i="12"/>
  <c r="CY12" i="12"/>
  <c r="CZ7" i="12"/>
  <c r="DR4" i="12"/>
  <c r="CY20" i="12"/>
  <c r="CX11" i="12"/>
  <c r="DR11" i="12"/>
  <c r="DR21" i="12"/>
  <c r="DR30" i="12"/>
  <c r="DR17" i="12"/>
  <c r="DR7" i="12"/>
  <c r="CY34" i="12"/>
  <c r="DR33" i="12"/>
  <c r="DR14" i="12"/>
  <c r="DR25" i="12"/>
  <c r="CY32" i="12"/>
  <c r="CY22" i="12"/>
  <c r="DR16" i="12"/>
  <c r="CZ28" i="12"/>
  <c r="CX18" i="12"/>
  <c r="DR18" i="12"/>
  <c r="CY4" i="12"/>
  <c r="CX31" i="12"/>
  <c r="DR31" i="12"/>
  <c r="DR6" i="12"/>
  <c r="CY33" i="12"/>
  <c r="CY14" i="12"/>
  <c r="CY25" i="12"/>
  <c r="CZ17" i="12"/>
  <c r="DR10" i="12"/>
  <c r="DR8" i="12"/>
  <c r="CX19" i="12"/>
  <c r="DR19" i="12"/>
  <c r="CZ9" i="12"/>
  <c r="DR28" i="12"/>
  <c r="AB36" i="10"/>
  <c r="AB37" i="10" s="1"/>
  <c r="N6" i="10"/>
  <c r="M36" i="10"/>
  <c r="CY24" i="12" l="1"/>
  <c r="DS24" i="12"/>
  <c r="DS30" i="12"/>
  <c r="DS3" i="12"/>
  <c r="DS21" i="12"/>
  <c r="CZ32" i="12"/>
  <c r="CZ20" i="12"/>
  <c r="CZ26" i="12"/>
  <c r="DA21" i="12"/>
  <c r="CZ6" i="12"/>
  <c r="DS14" i="12"/>
  <c r="CY31" i="12"/>
  <c r="DS31" i="12"/>
  <c r="CY18" i="12"/>
  <c r="DS18" i="12"/>
  <c r="DS22" i="12"/>
  <c r="DS17" i="12"/>
  <c r="DS34" i="12"/>
  <c r="DS12" i="12"/>
  <c r="CY13" i="12"/>
  <c r="DS13" i="12"/>
  <c r="DS8" i="12"/>
  <c r="DS10" i="12"/>
  <c r="CY19" i="12"/>
  <c r="DS19" i="12"/>
  <c r="DA17" i="12"/>
  <c r="CZ14" i="12"/>
  <c r="DS16" i="12"/>
  <c r="DS4" i="12"/>
  <c r="CZ22" i="12"/>
  <c r="CZ34" i="12"/>
  <c r="CY11" i="12"/>
  <c r="DS11" i="12"/>
  <c r="DS28" i="12"/>
  <c r="CZ12" i="12"/>
  <c r="DA30" i="12"/>
  <c r="DA5" i="12"/>
  <c r="DS7" i="12"/>
  <c r="CZ8" i="12"/>
  <c r="CZ10" i="12"/>
  <c r="DA16" i="12"/>
  <c r="CY27" i="12"/>
  <c r="DS27" i="12"/>
  <c r="DA9" i="12"/>
  <c r="CZ25" i="12"/>
  <c r="CZ33" i="12"/>
  <c r="DA7" i="12"/>
  <c r="CY23" i="12"/>
  <c r="DS23" i="12"/>
  <c r="CY29" i="12"/>
  <c r="DS29" i="12"/>
  <c r="DS5" i="12"/>
  <c r="DS25" i="12"/>
  <c r="DS33" i="12"/>
  <c r="CZ4" i="12"/>
  <c r="DA28" i="12"/>
  <c r="DS32" i="12"/>
  <c r="DS20" i="12"/>
  <c r="DS26" i="12"/>
  <c r="CY15" i="12"/>
  <c r="DS15" i="12"/>
  <c r="DA3" i="12"/>
  <c r="DS6" i="12"/>
  <c r="DS9" i="12"/>
  <c r="M37" i="10"/>
  <c r="DT24" i="12" l="1"/>
  <c r="CZ24" i="12"/>
  <c r="DT7" i="12"/>
  <c r="DB28" i="12"/>
  <c r="CZ29" i="12"/>
  <c r="DT29" i="12"/>
  <c r="CZ27" i="12"/>
  <c r="DT27" i="12"/>
  <c r="DA10" i="12"/>
  <c r="CZ11" i="12"/>
  <c r="DT11" i="12"/>
  <c r="DT30" i="12"/>
  <c r="CZ18" i="12"/>
  <c r="DT18" i="12"/>
  <c r="DT17" i="12"/>
  <c r="DB21" i="12"/>
  <c r="DA20" i="12"/>
  <c r="CZ15" i="12"/>
  <c r="DT15" i="12"/>
  <c r="DT4" i="12"/>
  <c r="DT9" i="12"/>
  <c r="DT33" i="12"/>
  <c r="DT8" i="12"/>
  <c r="DB5" i="12"/>
  <c r="DA12" i="12"/>
  <c r="DT34" i="12"/>
  <c r="DT28" i="12"/>
  <c r="DA14" i="12"/>
  <c r="CZ19" i="12"/>
  <c r="DT19" i="12"/>
  <c r="DT6" i="12"/>
  <c r="DT26" i="12"/>
  <c r="DT32" i="12"/>
  <c r="DB7" i="12"/>
  <c r="DT14" i="12"/>
  <c r="DA4" i="12"/>
  <c r="CZ23" i="12"/>
  <c r="DT23" i="12"/>
  <c r="DA33" i="12"/>
  <c r="DB9" i="12"/>
  <c r="DB16" i="12"/>
  <c r="DA8" i="12"/>
  <c r="DA34" i="12"/>
  <c r="DT16" i="12"/>
  <c r="CZ13" i="12"/>
  <c r="DT13" i="12"/>
  <c r="CZ31" i="12"/>
  <c r="DT31" i="12"/>
  <c r="DA6" i="12"/>
  <c r="DA26" i="12"/>
  <c r="DA32" i="12"/>
  <c r="DA25" i="12"/>
  <c r="DT12" i="12"/>
  <c r="DA22" i="12"/>
  <c r="DT21" i="12"/>
  <c r="DB3" i="12"/>
  <c r="DT25" i="12"/>
  <c r="DT10" i="12"/>
  <c r="DB30" i="12"/>
  <c r="DT22" i="12"/>
  <c r="DB17" i="12"/>
  <c r="DT5" i="12"/>
  <c r="DT20" i="12"/>
  <c r="DT3" i="12"/>
  <c r="B10" i="10"/>
  <c r="B11" i="10" s="1"/>
  <c r="B12" i="10" s="1"/>
  <c r="B13" i="10" s="1"/>
  <c r="B14" i="10" s="1"/>
  <c r="B15" i="10" s="1"/>
  <c r="B16" i="10" s="1"/>
  <c r="B17" i="10" s="1"/>
  <c r="B18" i="10" s="1"/>
  <c r="B19" i="10" s="1"/>
  <c r="B20" i="10" s="1"/>
  <c r="B21" i="10" s="1"/>
  <c r="B22" i="10" s="1"/>
  <c r="B23" i="10" s="1"/>
  <c r="B24" i="10" s="1"/>
  <c r="B25" i="10" s="1"/>
  <c r="B26" i="10" s="1"/>
  <c r="B27" i="10" s="1"/>
  <c r="B28" i="10" s="1"/>
  <c r="B29" i="10" s="1"/>
  <c r="B30" i="10" s="1"/>
  <c r="B31" i="10" s="1"/>
  <c r="B32" i="10" s="1"/>
  <c r="B33" i="10" s="1"/>
  <c r="B34" i="10" s="1"/>
  <c r="B35" i="10" s="1"/>
  <c r="DA24" i="12" l="1"/>
  <c r="DB24" i="12" s="1"/>
  <c r="DC24" i="12" s="1"/>
  <c r="DU24" i="12"/>
  <c r="DU12" i="12"/>
  <c r="DU8" i="12"/>
  <c r="DU22" i="12"/>
  <c r="DU17" i="12"/>
  <c r="DU20" i="12"/>
  <c r="DU21" i="12"/>
  <c r="DU28" i="12"/>
  <c r="DB25" i="12"/>
  <c r="DB26" i="12"/>
  <c r="DA31" i="12"/>
  <c r="DU31" i="12"/>
  <c r="DB10" i="12"/>
  <c r="DA29" i="12"/>
  <c r="DU29" i="12"/>
  <c r="DC17" i="12"/>
  <c r="DB22" i="12"/>
  <c r="DU32" i="12"/>
  <c r="DU6" i="12"/>
  <c r="DU34" i="12"/>
  <c r="DB8" i="12"/>
  <c r="DC9" i="12"/>
  <c r="DA23" i="12"/>
  <c r="DU23" i="12"/>
  <c r="DU14" i="12"/>
  <c r="DB20" i="12"/>
  <c r="DA11" i="12"/>
  <c r="DU11" i="12"/>
  <c r="DC30" i="12"/>
  <c r="DB32" i="12"/>
  <c r="DB6" i="12"/>
  <c r="DA13" i="12"/>
  <c r="DU13" i="12"/>
  <c r="DB34" i="12"/>
  <c r="DU33" i="12"/>
  <c r="DU4" i="12"/>
  <c r="DB14" i="12"/>
  <c r="DB12" i="12"/>
  <c r="DU9" i="12"/>
  <c r="DA18" i="12"/>
  <c r="DU18" i="12"/>
  <c r="DU5" i="12"/>
  <c r="DA27" i="12"/>
  <c r="DU27" i="12"/>
  <c r="DC28" i="12"/>
  <c r="DU3" i="12"/>
  <c r="DA19" i="12"/>
  <c r="DU19" i="12"/>
  <c r="DC5" i="12"/>
  <c r="DC3" i="12"/>
  <c r="DU7" i="12"/>
  <c r="DU25" i="12"/>
  <c r="DU26" i="12"/>
  <c r="DU30" i="12"/>
  <c r="DC16" i="12"/>
  <c r="DB33" i="12"/>
  <c r="DB4" i="12"/>
  <c r="DC7" i="12"/>
  <c r="DA15" i="12"/>
  <c r="DU15" i="12"/>
  <c r="DC21" i="12"/>
  <c r="DU10" i="12"/>
  <c r="DU16" i="12"/>
  <c r="DV30" i="12" l="1"/>
  <c r="DV33" i="12"/>
  <c r="DV14" i="12"/>
  <c r="DV25" i="12"/>
  <c r="DV16" i="12"/>
  <c r="DD24" i="12"/>
  <c r="DB19" i="12"/>
  <c r="DV19" i="12"/>
  <c r="DB18" i="12"/>
  <c r="DV18" i="12"/>
  <c r="DV28" i="12"/>
  <c r="DC22" i="12"/>
  <c r="DD7" i="12"/>
  <c r="DC33" i="12"/>
  <c r="DB27" i="12"/>
  <c r="DV27" i="12"/>
  <c r="DC14" i="12"/>
  <c r="DB13" i="12"/>
  <c r="DV13" i="12"/>
  <c r="DC32" i="12"/>
  <c r="DD9" i="12"/>
  <c r="DB29" i="12"/>
  <c r="DV29" i="12"/>
  <c r="DB31" i="12"/>
  <c r="DV31" i="12"/>
  <c r="DC25" i="12"/>
  <c r="DB15" i="12"/>
  <c r="DV15" i="12"/>
  <c r="DV34" i="12"/>
  <c r="DB11" i="12"/>
  <c r="DV11" i="12"/>
  <c r="DV9" i="12"/>
  <c r="DV17" i="12"/>
  <c r="DV8" i="12"/>
  <c r="DD17" i="12"/>
  <c r="DV10" i="12"/>
  <c r="DV26" i="12"/>
  <c r="DV21" i="12"/>
  <c r="DD21" i="12"/>
  <c r="DV32" i="12"/>
  <c r="DC20" i="12"/>
  <c r="DV4" i="12"/>
  <c r="DD3" i="12"/>
  <c r="DD5" i="12"/>
  <c r="DV12" i="12"/>
  <c r="DV7" i="12"/>
  <c r="DV6" i="12"/>
  <c r="DV5" i="12"/>
  <c r="DC4" i="12"/>
  <c r="DD16" i="12"/>
  <c r="DD28" i="12"/>
  <c r="DC12" i="12"/>
  <c r="DC34" i="12"/>
  <c r="DC6" i="12"/>
  <c r="DD30" i="12"/>
  <c r="DV20" i="12"/>
  <c r="DB23" i="12"/>
  <c r="DV23" i="12"/>
  <c r="DC8" i="12"/>
  <c r="DV22" i="12"/>
  <c r="DV24" i="12"/>
  <c r="DC10" i="12"/>
  <c r="DC26" i="12"/>
  <c r="DV3" i="12"/>
  <c r="DW34" i="12" l="1"/>
  <c r="DW20" i="12"/>
  <c r="DW4" i="12"/>
  <c r="DE5" i="12"/>
  <c r="DC19" i="12"/>
  <c r="DW19" i="12"/>
  <c r="DW26" i="12"/>
  <c r="DE30" i="12"/>
  <c r="DD34" i="12"/>
  <c r="DE28" i="12"/>
  <c r="DD20" i="12"/>
  <c r="DE17" i="12"/>
  <c r="DC15" i="12"/>
  <c r="DW15" i="12"/>
  <c r="DC31" i="12"/>
  <c r="DW31" i="12"/>
  <c r="DE9" i="12"/>
  <c r="DC13" i="12"/>
  <c r="DW13" i="12"/>
  <c r="DC27" i="12"/>
  <c r="DW27" i="12"/>
  <c r="DE7" i="12"/>
  <c r="DE16" i="12"/>
  <c r="DC23" i="12"/>
  <c r="DW23" i="12"/>
  <c r="DW24" i="12"/>
  <c r="DD4" i="12"/>
  <c r="DE3" i="12"/>
  <c r="DC11" i="12"/>
  <c r="DW11" i="12"/>
  <c r="DW21" i="12"/>
  <c r="DW28" i="12"/>
  <c r="DW30" i="12"/>
  <c r="DW16" i="12"/>
  <c r="DW9" i="12"/>
  <c r="DW5" i="12"/>
  <c r="DW3" i="12"/>
  <c r="DW7" i="12"/>
  <c r="DW25" i="12"/>
  <c r="DW32" i="12"/>
  <c r="DW14" i="12"/>
  <c r="DW33" i="12"/>
  <c r="DW22" i="12"/>
  <c r="DC18" i="12"/>
  <c r="DW18" i="12"/>
  <c r="DE24" i="12"/>
  <c r="DD10" i="12"/>
  <c r="DD8" i="12"/>
  <c r="DE21" i="12"/>
  <c r="DD26" i="12"/>
  <c r="DW6" i="12"/>
  <c r="DW12" i="12"/>
  <c r="DW10" i="12"/>
  <c r="DW8" i="12"/>
  <c r="DD6" i="12"/>
  <c r="DD12" i="12"/>
  <c r="DD25" i="12"/>
  <c r="DC29" i="12"/>
  <c r="DW29" i="12"/>
  <c r="DD32" i="12"/>
  <c r="DD14" i="12"/>
  <c r="DD33" i="12"/>
  <c r="DD22" i="12"/>
  <c r="DW17" i="12"/>
  <c r="DX28" i="12" l="1"/>
  <c r="DX5" i="12"/>
  <c r="DE22" i="12"/>
  <c r="DD29" i="12"/>
  <c r="DX29" i="12"/>
  <c r="DX33" i="12"/>
  <c r="DX32" i="12"/>
  <c r="DX25" i="12"/>
  <c r="DX16" i="12"/>
  <c r="DE6" i="12"/>
  <c r="DF21" i="12"/>
  <c r="DX10" i="12"/>
  <c r="DD11" i="12"/>
  <c r="DX11" i="12"/>
  <c r="DE4" i="12"/>
  <c r="DX20" i="12"/>
  <c r="DF28" i="12"/>
  <c r="DF30" i="12"/>
  <c r="DX7" i="12"/>
  <c r="DX24" i="12"/>
  <c r="DF24" i="12"/>
  <c r="DE33" i="12"/>
  <c r="DE32" i="12"/>
  <c r="DE25" i="12"/>
  <c r="DX12" i="12"/>
  <c r="DX26" i="12"/>
  <c r="DE10" i="12"/>
  <c r="DD18" i="12"/>
  <c r="DX18" i="12"/>
  <c r="DF16" i="12"/>
  <c r="DD27" i="12"/>
  <c r="DX27" i="12"/>
  <c r="DF9" i="12"/>
  <c r="DD15" i="12"/>
  <c r="DX15" i="12"/>
  <c r="DE20" i="12"/>
  <c r="DX34" i="12"/>
  <c r="DX9" i="12"/>
  <c r="DX17" i="12"/>
  <c r="DE14" i="12"/>
  <c r="DX6" i="12"/>
  <c r="DE8" i="12"/>
  <c r="DX4" i="12"/>
  <c r="DD23" i="12"/>
  <c r="DX23" i="12"/>
  <c r="DF7" i="12"/>
  <c r="DD13" i="12"/>
  <c r="DX13" i="12"/>
  <c r="DD31" i="12"/>
  <c r="DX31" i="12"/>
  <c r="DF17" i="12"/>
  <c r="DD19" i="12"/>
  <c r="DX19" i="12"/>
  <c r="DF5" i="12"/>
  <c r="DX22" i="12"/>
  <c r="DX14" i="12"/>
  <c r="DX21" i="12"/>
  <c r="DE12" i="12"/>
  <c r="DE26" i="12"/>
  <c r="DX8" i="12"/>
  <c r="DF3" i="12"/>
  <c r="DX3" i="12"/>
  <c r="DE34" i="12"/>
  <c r="DX30" i="12"/>
  <c r="DY30" i="12" l="1"/>
  <c r="DY14" i="12"/>
  <c r="DY34" i="12"/>
  <c r="DY7" i="12"/>
  <c r="DY16" i="12"/>
  <c r="DY20" i="12"/>
  <c r="DF12" i="12"/>
  <c r="DF4" i="12"/>
  <c r="DY28" i="12"/>
  <c r="DE31" i="12"/>
  <c r="DY31" i="12"/>
  <c r="DE29" i="12"/>
  <c r="DY29" i="12"/>
  <c r="DE15" i="12"/>
  <c r="DY15" i="12"/>
  <c r="DF34" i="12"/>
  <c r="DF14" i="12"/>
  <c r="DF32" i="12"/>
  <c r="DF26" i="12"/>
  <c r="DF8" i="12"/>
  <c r="DF20" i="12"/>
  <c r="DY10" i="12"/>
  <c r="DY25" i="12"/>
  <c r="DY33" i="12"/>
  <c r="DE11" i="12"/>
  <c r="DY11" i="12"/>
  <c r="DY21" i="12"/>
  <c r="DY6" i="12"/>
  <c r="DY22" i="12"/>
  <c r="DE27" i="12"/>
  <c r="DY27" i="12"/>
  <c r="DY32" i="12"/>
  <c r="DY26" i="12"/>
  <c r="DY8" i="12"/>
  <c r="DE18" i="12"/>
  <c r="DY18" i="12"/>
  <c r="DY9" i="12"/>
  <c r="DY5" i="12"/>
  <c r="DY17" i="12"/>
  <c r="DY24" i="12"/>
  <c r="DY12" i="12"/>
  <c r="DE19" i="12"/>
  <c r="DY19" i="12"/>
  <c r="DE13" i="12"/>
  <c r="DY13" i="12"/>
  <c r="DE23" i="12"/>
  <c r="DY23" i="12"/>
  <c r="DY3" i="12"/>
  <c r="DF10" i="12"/>
  <c r="DF25" i="12"/>
  <c r="DF33" i="12"/>
  <c r="DY4" i="12"/>
  <c r="DF6" i="12"/>
  <c r="DF22" i="12"/>
  <c r="DZ25" i="12" l="1"/>
  <c r="DZ22" i="12"/>
  <c r="DF13" i="12"/>
  <c r="DZ13" i="12"/>
  <c r="DZ17" i="12"/>
  <c r="DZ3" i="12"/>
  <c r="DZ16" i="12"/>
  <c r="DZ4" i="12"/>
  <c r="DF11" i="12"/>
  <c r="DZ11" i="12"/>
  <c r="DZ21" i="12"/>
  <c r="DZ7" i="12"/>
  <c r="DZ5" i="12"/>
  <c r="DZ30" i="12"/>
  <c r="DZ24" i="12"/>
  <c r="DZ26" i="12"/>
  <c r="DZ34" i="12"/>
  <c r="DF27" i="12"/>
  <c r="DZ27" i="12"/>
  <c r="DZ14" i="12"/>
  <c r="DZ33" i="12"/>
  <c r="DF23" i="12"/>
  <c r="DZ23" i="12"/>
  <c r="DF18" i="12"/>
  <c r="DZ18" i="12"/>
  <c r="DZ28" i="12"/>
  <c r="DZ8" i="12"/>
  <c r="DZ32" i="12"/>
  <c r="DF29" i="12"/>
  <c r="DZ29" i="12"/>
  <c r="DF31" i="12"/>
  <c r="DZ31" i="12"/>
  <c r="DZ12" i="12"/>
  <c r="DZ20" i="12"/>
  <c r="DF15" i="12"/>
  <c r="DZ15" i="12"/>
  <c r="DZ6" i="12"/>
  <c r="DZ10" i="12"/>
  <c r="DF19" i="12"/>
  <c r="DZ19" i="12"/>
  <c r="DZ9" i="12"/>
  <c r="EA6" i="12" l="1"/>
  <c r="EA12" i="12"/>
  <c r="EA3" i="12"/>
  <c r="EA15" i="12"/>
  <c r="EA31" i="12"/>
  <c r="EA22" i="12"/>
  <c r="EA24" i="12"/>
  <c r="EA8" i="12"/>
  <c r="EA19" i="12"/>
  <c r="EA26" i="12"/>
  <c r="EA4" i="12"/>
  <c r="EA11" i="12"/>
  <c r="EA21" i="12"/>
  <c r="EA28" i="12"/>
  <c r="EA23" i="12"/>
  <c r="EA5" i="12"/>
  <c r="EA10" i="12"/>
  <c r="EA29" i="12"/>
  <c r="EA20" i="12"/>
  <c r="EA17" i="12"/>
  <c r="EA13" i="12"/>
  <c r="EA27" i="12"/>
  <c r="EA30" i="12"/>
  <c r="EA9" i="12"/>
  <c r="EA18" i="12"/>
  <c r="EA32" i="12"/>
  <c r="EA33" i="12"/>
  <c r="EA34" i="12"/>
  <c r="EA16" i="12"/>
  <c r="EA14" i="12"/>
  <c r="EA25" i="12"/>
  <c r="EA7" i="12"/>
</calcChain>
</file>

<file path=xl/sharedStrings.xml><?xml version="1.0" encoding="utf-8"?>
<sst xmlns="http://schemas.openxmlformats.org/spreadsheetml/2006/main" count="1783" uniqueCount="313">
  <si>
    <t>Date</t>
  </si>
  <si>
    <t>Opponent</t>
  </si>
  <si>
    <t>Time</t>
  </si>
  <si>
    <t>Match</t>
  </si>
  <si>
    <t>Result</t>
  </si>
  <si>
    <t>Highgate</t>
  </si>
  <si>
    <t>1.30 pm</t>
  </si>
  <si>
    <t>Northwood</t>
  </si>
  <si>
    <t>Kew</t>
  </si>
  <si>
    <t>Wembley</t>
  </si>
  <si>
    <t>12.00 pm</t>
  </si>
  <si>
    <t>Shepperton</t>
  </si>
  <si>
    <t>Events</t>
  </si>
  <si>
    <t>Legends Golf Tour, Devon</t>
  </si>
  <si>
    <t>Batting</t>
  </si>
  <si>
    <t>Bowling</t>
  </si>
  <si>
    <t>NACA</t>
  </si>
  <si>
    <t>Club</t>
  </si>
  <si>
    <t>Career Batting</t>
  </si>
  <si>
    <t xml:space="preserve"> </t>
  </si>
  <si>
    <t>Skipper</t>
  </si>
  <si>
    <t>BATTING</t>
  </si>
  <si>
    <t>Pl</t>
  </si>
  <si>
    <t>Inn</t>
  </si>
  <si>
    <t xml:space="preserve">N.O. </t>
  </si>
  <si>
    <t>Run</t>
  </si>
  <si>
    <t>HS</t>
  </si>
  <si>
    <t>Ave</t>
  </si>
  <si>
    <t>Champ</t>
  </si>
  <si>
    <t>Pts</t>
  </si>
  <si>
    <t>Evaluate</t>
  </si>
  <si>
    <t>HOAR, Carl</t>
  </si>
  <si>
    <t xml:space="preserve"> (ENG)</t>
  </si>
  <si>
    <t>NAGRE, Ashish</t>
  </si>
  <si>
    <t xml:space="preserve"> (IND)</t>
  </si>
  <si>
    <t>KHAN, Shahna</t>
  </si>
  <si>
    <t>SHARMA, Sandip</t>
  </si>
  <si>
    <t>THACKER, Nilesh</t>
  </si>
  <si>
    <t xml:space="preserve"> (AUS)</t>
  </si>
  <si>
    <t>STOUT, Mick</t>
  </si>
  <si>
    <t>WATERMAN, Damien</t>
  </si>
  <si>
    <t>-</t>
  </si>
  <si>
    <t>SPARROW, Luke</t>
  </si>
  <si>
    <t xml:space="preserve"> (NZ)</t>
  </si>
  <si>
    <t>WERREN, Steve</t>
  </si>
  <si>
    <t>Batting Averages Qualification</t>
  </si>
  <si>
    <t>1) Dismissed 5 times</t>
  </si>
  <si>
    <t>2) Have scored at least 200 runs and been to the crease 5 times (This includes 'not outs')</t>
  </si>
  <si>
    <t>Club Champion - Batting</t>
  </si>
  <si>
    <t>5 pts    Batting average is 40 runs or more</t>
  </si>
  <si>
    <t>4 pts    Batting average  is between 30 and 40 runs</t>
  </si>
  <si>
    <t>3 pts    Batting average is between 20 and 30 runs</t>
  </si>
  <si>
    <t>2 pt      Batting average is between 10 and 20 runs</t>
  </si>
  <si>
    <t>1 pt      Batting average is less than 10 runs</t>
  </si>
  <si>
    <t>ALSO BATTED</t>
  </si>
  <si>
    <t>HARDY, Tim</t>
  </si>
  <si>
    <t>NAIDU, Nilesh</t>
  </si>
  <si>
    <t>Performance Pts</t>
  </si>
  <si>
    <t>O/W</t>
  </si>
  <si>
    <t>R/O</t>
  </si>
  <si>
    <t>R/W</t>
  </si>
  <si>
    <t xml:space="preserve">    Best figures</t>
  </si>
  <si>
    <t>Career Bowling</t>
  </si>
  <si>
    <t>BOWLING</t>
  </si>
  <si>
    <t>Ov</t>
  </si>
  <si>
    <t>M</t>
  </si>
  <si>
    <t>Wk</t>
  </si>
  <si>
    <t>S.R.</t>
  </si>
  <si>
    <t>Econ</t>
  </si>
  <si>
    <t>R</t>
  </si>
  <si>
    <t>2</t>
  </si>
  <si>
    <t>Bowling Averages Qualification</t>
  </si>
  <si>
    <t>1) Bowled 30 overs</t>
  </si>
  <si>
    <r>
      <t xml:space="preserve">           </t>
    </r>
    <r>
      <rPr>
        <u/>
        <sz val="10"/>
        <rFont val="Times New Roman"/>
        <family val="1"/>
      </rPr>
      <t>and</t>
    </r>
  </si>
  <si>
    <t>2) Bowled in at least 5 matches</t>
  </si>
  <si>
    <t>Club Champion - Bowling</t>
  </si>
  <si>
    <t xml:space="preserve">Bowling points are based equally on your bowling average (runs per wicket) and economy rate (runs per over), </t>
  </si>
  <si>
    <t>then divided by 2 to give a final ranking out of 5.</t>
  </si>
  <si>
    <t> Average</t>
  </si>
  <si>
    <t> Economy</t>
  </si>
  <si>
    <t> 5 pts    Economy rate is less than 4.5 runs per over</t>
  </si>
  <si>
    <t> 4 pts    Economy rate is between 4.5 and 5.0 runs per over</t>
  </si>
  <si>
    <t> 3 pts    Economy rate is between 5.0 and 5.5 runs per over</t>
  </si>
  <si>
    <t> 2 pts    Economy rate is between 5.5 and 6.0 runs per over</t>
  </si>
  <si>
    <t> 1 pt      Economy rate is more than 6 runs per over</t>
  </si>
  <si>
    <t>ALSO BOWLED</t>
  </si>
  <si>
    <t>ATKINSON, Dale</t>
  </si>
  <si>
    <t>GOUNDAR, Krishneel</t>
  </si>
  <si>
    <t>3</t>
  </si>
  <si>
    <t>ROBINSON, Mark</t>
  </si>
  <si>
    <t>ANDREW, Rik</t>
  </si>
  <si>
    <t>MONK, Andrew</t>
  </si>
  <si>
    <t>GAMBLE, Nick</t>
  </si>
  <si>
    <t>FIELDING</t>
  </si>
  <si>
    <t>Ct</t>
  </si>
  <si>
    <t>St</t>
  </si>
  <si>
    <t>RO</t>
  </si>
  <si>
    <t>WERREN, Steve (w/k)</t>
  </si>
  <si>
    <t xml:space="preserve">TOTAL </t>
  </si>
  <si>
    <t>Club Champion - Fielding</t>
  </si>
  <si>
    <t>12 pts: Stumping</t>
  </si>
  <si>
    <t xml:space="preserve">  8 pts: Catch</t>
  </si>
  <si>
    <t xml:space="preserve">  8 pts: Run Out (Thrower)</t>
  </si>
  <si>
    <t xml:space="preserve">  4 pts: Shared Run Out</t>
  </si>
  <si>
    <t>PARTNERSHIPS - SEASON BEST</t>
  </si>
  <si>
    <t>Wkt</t>
  </si>
  <si>
    <t>Runs</t>
  </si>
  <si>
    <t>Batsmen</t>
  </si>
  <si>
    <t>Opposition</t>
  </si>
  <si>
    <t>Total</t>
  </si>
  <si>
    <t>Points</t>
  </si>
  <si>
    <t>Performance Points</t>
  </si>
  <si>
    <t xml:space="preserve">                    or</t>
  </si>
  <si>
    <t>BELL, Colin</t>
  </si>
  <si>
    <t xml:space="preserve"> (NI)</t>
  </si>
  <si>
    <t xml:space="preserve"> (SA)</t>
  </si>
  <si>
    <t/>
  </si>
  <si>
    <t>*</t>
  </si>
  <si>
    <t>Note: Batting Averages highlighted in red are those players who haven't yet qualified</t>
  </si>
  <si>
    <t>Note: Bowling Averages highlighted in red are those players who haven't yet qualified</t>
  </si>
  <si>
    <t>EVANS, Ben</t>
  </si>
  <si>
    <t>EYRE, Peter</t>
  </si>
  <si>
    <t>COLEMAN, Nathan</t>
  </si>
  <si>
    <t>ranking for players who have not yet qualified. The evaluation is the lowest ranking the</t>
  </si>
  <si>
    <t>20 pts: Per Wicket, minus 1 point for every 5 runs conceded</t>
  </si>
  <si>
    <t>1.00 pm</t>
  </si>
  <si>
    <t>HANA, Jamie</t>
  </si>
  <si>
    <t>WETHERELL, Tim</t>
  </si>
  <si>
    <t>BRASH, Kinnon</t>
  </si>
  <si>
    <t>THACKER, Jay</t>
  </si>
  <si>
    <t>ELLIOT, Ron</t>
  </si>
  <si>
    <t xml:space="preserve"> (SCOT)</t>
  </si>
  <si>
    <t>1 pt:  Per Run, minus 7 points for every dismissal</t>
  </si>
  <si>
    <t>Note: Performance Points figures highlighted in red are the skippers evaluation of the batting</t>
  </si>
  <si>
    <t>Note: Performance Points Figures highlighted in red are the skippers evaluation of the bowling ranking</t>
  </si>
  <si>
    <t xml:space="preserve"> CLUB CHAMPION</t>
  </si>
  <si>
    <t>THOO, Kiat</t>
  </si>
  <si>
    <t>HAMPSON, James</t>
  </si>
  <si>
    <t>TAMBLING, Damian</t>
  </si>
  <si>
    <t>FRASER, Stuart</t>
  </si>
  <si>
    <t>BLANDEN, Grant</t>
  </si>
  <si>
    <t>Nepotists</t>
  </si>
  <si>
    <t>SINHA, Amit</t>
  </si>
  <si>
    <t>KHANNA, Aditya</t>
  </si>
  <si>
    <t>DAS, Aniket</t>
  </si>
  <si>
    <t>Total since (and including 2010)</t>
  </si>
  <si>
    <t xml:space="preserve"> From 2009</t>
  </si>
  <si>
    <t>BULL, Colin</t>
  </si>
  <si>
    <t>BULL, Graham</t>
  </si>
  <si>
    <t>WHITE, John</t>
  </si>
  <si>
    <t>(1 lowest - 5 highest)</t>
  </si>
  <si>
    <t>Time Game</t>
  </si>
  <si>
    <t>SUBRAMANIAR, Siva</t>
  </si>
  <si>
    <t>COOK, Clayton</t>
  </si>
  <si>
    <t>PATEL, Rupesh</t>
  </si>
  <si>
    <t>PATEL, Hinesh</t>
  </si>
  <si>
    <t>THACKER, Varun</t>
  </si>
  <si>
    <t>DAVIS, V</t>
  </si>
  <si>
    <t>OHDEDAR, Birsha</t>
  </si>
  <si>
    <t>Teddington</t>
  </si>
  <si>
    <t xml:space="preserve">FIXTURES   </t>
  </si>
  <si>
    <t xml:space="preserve">Scheduled   </t>
  </si>
  <si>
    <t xml:space="preserve">Played   </t>
  </si>
  <si>
    <t xml:space="preserve">Won   </t>
  </si>
  <si>
    <t xml:space="preserve">Lost   </t>
  </si>
  <si>
    <t xml:space="preserve">Cancelled   </t>
  </si>
  <si>
    <t>FIXTURES</t>
  </si>
  <si>
    <t>STYLES, Ryan</t>
  </si>
  <si>
    <t>MEDCALF, William</t>
  </si>
  <si>
    <t>Up to and including 2014</t>
  </si>
  <si>
    <t>P. Pts</t>
  </si>
  <si>
    <t>E</t>
  </si>
  <si>
    <t>Career</t>
  </si>
  <si>
    <t>Performance</t>
  </si>
  <si>
    <t>Bowling Ave</t>
  </si>
  <si>
    <t>Fielding</t>
  </si>
  <si>
    <r>
      <t>Pts</t>
    </r>
    <r>
      <rPr>
        <sz val="9"/>
        <rFont val="Times New Roman"/>
        <family val="1"/>
      </rPr>
      <t xml:space="preserve"> (Runs)</t>
    </r>
  </si>
  <si>
    <r>
      <t>Pts</t>
    </r>
    <r>
      <rPr>
        <sz val="9"/>
        <rFont val="Times New Roman"/>
        <family val="1"/>
      </rPr>
      <t xml:space="preserve"> (Wkts)</t>
    </r>
  </si>
  <si>
    <r>
      <t>Pts</t>
    </r>
    <r>
      <rPr>
        <sz val="9"/>
        <rFont val="Times New Roman"/>
        <family val="1"/>
      </rPr>
      <t xml:space="preserve"> (Dism)</t>
    </r>
  </si>
  <si>
    <t>and hopefully this will go up as the season wears on and form kicks in.</t>
  </si>
  <si>
    <t xml:space="preserve"> (1 lowest - 5 highest)</t>
  </si>
  <si>
    <t>player is likely to achieve and hopefully this will go up as the season wears on and form kicks in.</t>
  </si>
  <si>
    <t>for players who have not yet qualified. The evaluation is the lowest ranking the player is likely to achieve</t>
  </si>
  <si>
    <t>Royal Household</t>
  </si>
  <si>
    <t xml:space="preserve">Abandoned   </t>
  </si>
  <si>
    <t>PRICE, Richard</t>
  </si>
  <si>
    <t>SHELDON, Mike</t>
  </si>
  <si>
    <t>Crouch End</t>
  </si>
  <si>
    <t>(NZ)</t>
  </si>
  <si>
    <t>(AUS)</t>
  </si>
  <si>
    <t>(IND)</t>
  </si>
  <si>
    <t>(ENG)</t>
  </si>
  <si>
    <t>dnb</t>
  </si>
  <si>
    <t>(ZIM)</t>
  </si>
  <si>
    <t>Bowling:   20 pts per wicket, minus 1 pt for every 5 runs conceded</t>
  </si>
  <si>
    <t>Batting:     1 pt per run, minus 7 pts for every time dismissed</t>
  </si>
  <si>
    <t>Fielding:   12 pts: stumping</t>
  </si>
  <si>
    <t>                    8 pts: catch</t>
  </si>
  <si>
    <t>                    8 pts: run out (thrower)</t>
  </si>
  <si>
    <t>                    4 pts: run out (shared)</t>
  </si>
  <si>
    <t> 5 pts    Bowling average is less than 15 runs per wicket</t>
  </si>
  <si>
    <t> 4 pts    Bowling average is between 15 and 20 runs per wicket</t>
  </si>
  <si>
    <t> 3 pts    Bowling average is between 20 and 25 runs per wicket</t>
  </si>
  <si>
    <t> 2 pts    Bowling average is between 25 and 30 runs per wicket</t>
  </si>
  <si>
    <t> 1 pt      Bowling average is more than 30 runs per wicket</t>
  </si>
  <si>
    <t xml:space="preserve">Draw   </t>
  </si>
  <si>
    <t>GRIEVE, Nick</t>
  </si>
  <si>
    <t>Scorecard</t>
  </si>
  <si>
    <t>Match Report</t>
  </si>
  <si>
    <t> </t>
  </si>
  <si>
    <t>North Enfield</t>
  </si>
  <si>
    <t>Holtwhites Trinibis</t>
  </si>
  <si>
    <t>Chingford</t>
  </si>
  <si>
    <t>29 Jun - 03 Jul</t>
  </si>
  <si>
    <t>Ave.</t>
  </si>
  <si>
    <t>McLOGHLIN, Mick</t>
  </si>
  <si>
    <t>MASON, Jim</t>
  </si>
  <si>
    <t>PHELAN, Jack</t>
  </si>
  <si>
    <t>AHMAD, Danyal</t>
  </si>
  <si>
    <t>FORD, Terrence</t>
  </si>
  <si>
    <t>GILLIAN, Kahuna</t>
  </si>
  <si>
    <t>DALE, Colin</t>
  </si>
  <si>
    <t>(PAK)</t>
  </si>
  <si>
    <t>Schwim Moment</t>
  </si>
  <si>
    <t>Sun 22 Apr</t>
  </si>
  <si>
    <t>Sun 29 Apr</t>
  </si>
  <si>
    <t>Sun 06 May</t>
  </si>
  <si>
    <t>40 Overs</t>
  </si>
  <si>
    <t>Cancelled</t>
  </si>
  <si>
    <t>N/A</t>
  </si>
  <si>
    <t>Harrow St. Mary's</t>
  </si>
  <si>
    <t>Ickenham</t>
  </si>
  <si>
    <t>Didn't Win</t>
  </si>
  <si>
    <t>Here</t>
  </si>
  <si>
    <t>Report</t>
  </si>
  <si>
    <t>Sun 13 May</t>
  </si>
  <si>
    <t>Sun 20 May</t>
  </si>
  <si>
    <t>Did Win</t>
  </si>
  <si>
    <t>Sun 27 May</t>
  </si>
  <si>
    <t>Barnes</t>
  </si>
  <si>
    <t>Sun 03 Jun</t>
  </si>
  <si>
    <t>Putney</t>
  </si>
  <si>
    <t>Sun 10 Jun</t>
  </si>
  <si>
    <t>Sun 17 Jun</t>
  </si>
  <si>
    <t>Sun 24 Jun</t>
  </si>
  <si>
    <t>Sat 30 Jun</t>
  </si>
  <si>
    <t>2.00pm</t>
  </si>
  <si>
    <t>Sun 08 Jul</t>
  </si>
  <si>
    <t>Sun 15 Jul</t>
  </si>
  <si>
    <t>Sun 22 Jul</t>
  </si>
  <si>
    <t>Sun 29 Jul</t>
  </si>
  <si>
    <t>Old Wimbledonians</t>
  </si>
  <si>
    <t>Sun 05 Aug</t>
  </si>
  <si>
    <t>Shepherd's Bush</t>
  </si>
  <si>
    <t>1.30pm</t>
  </si>
  <si>
    <t>Sun 12 Aug</t>
  </si>
  <si>
    <t>Sat 18 Aug</t>
  </si>
  <si>
    <t>ISIS Trophy (Oxford)</t>
  </si>
  <si>
    <t>Sun 19 Aug</t>
  </si>
  <si>
    <t>Sun 26 Aug</t>
  </si>
  <si>
    <t>Highgate TBC</t>
  </si>
  <si>
    <t>Nepo's v Royal Household Cricket Club</t>
  </si>
  <si>
    <t>Steve Werren Invitational Golf Tournament Oxford</t>
  </si>
  <si>
    <t>18 - 19 Aug</t>
  </si>
  <si>
    <t>Oxford Tour (Isis Trophy)</t>
  </si>
  <si>
    <t>AGM &amp; Awards Night at Star Tavern, Belgravia</t>
  </si>
  <si>
    <t>Catches/Stumpings/Run Outs:  (-/-/-)</t>
  </si>
  <si>
    <t>OVENS, Rhett</t>
  </si>
  <si>
    <t>BLACKMAN, Dave</t>
  </si>
  <si>
    <t>BALOCH, Ali</t>
  </si>
  <si>
    <t>THACKER, Jai</t>
  </si>
  <si>
    <t>n/a</t>
  </si>
  <si>
    <t>SHARMA, Pawan</t>
  </si>
  <si>
    <t>KANTH, Kiso</t>
  </si>
  <si>
    <t>(SL)</t>
  </si>
  <si>
    <t>KARA, Pravesh</t>
  </si>
  <si>
    <t>BALDEN, Bruce</t>
  </si>
  <si>
    <t>CO-OP, Lenard</t>
  </si>
  <si>
    <t>CULLEY, James</t>
  </si>
  <si>
    <t>WARNER, Kupa</t>
  </si>
  <si>
    <t>(PNG)</t>
  </si>
  <si>
    <t>KHATTAK, Bilal</t>
  </si>
  <si>
    <t>NIAZ, Bilal</t>
  </si>
  <si>
    <t>RONALDSON, Jamie</t>
  </si>
  <si>
    <t>Missenden Misfits</t>
  </si>
  <si>
    <t>(WAL)</t>
  </si>
  <si>
    <t>GREENING, Ed</t>
  </si>
  <si>
    <t>Coming</t>
  </si>
  <si>
    <t>Cumulative Total</t>
  </si>
  <si>
    <t>Rank by Week</t>
  </si>
  <si>
    <t>Wk1</t>
  </si>
  <si>
    <t>Wk2</t>
  </si>
  <si>
    <t>Wk3</t>
  </si>
  <si>
    <t>Wk4</t>
  </si>
  <si>
    <t>Wk5</t>
  </si>
  <si>
    <t>Wk6</t>
  </si>
  <si>
    <t>Wk7</t>
  </si>
  <si>
    <t>Wk8</t>
  </si>
  <si>
    <t>Wk9</t>
  </si>
  <si>
    <t>Wk10</t>
  </si>
  <si>
    <t>Wk11</t>
  </si>
  <si>
    <t>Wk12</t>
  </si>
  <si>
    <t>Wk13</t>
  </si>
  <si>
    <t>Wk14</t>
  </si>
  <si>
    <t>Wk15</t>
  </si>
  <si>
    <t>Wk16</t>
  </si>
  <si>
    <t>Wk17</t>
  </si>
  <si>
    <t>Wk18</t>
  </si>
  <si>
    <t>Wk19</t>
  </si>
  <si>
    <t>Wk20</t>
  </si>
  <si>
    <t>Wk21</t>
  </si>
  <si>
    <t>Post Modernists</t>
  </si>
  <si>
    <t>Nevill Holt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</si>
</sst>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dd\ mmm"/>
    <numFmt numFmtId="165" formatCode="ddd\ dd\ mmm"/>
    <numFmt numFmtId="166" formatCode="0.0"/>
    <numFmt numFmtId="167" formatCode="&quot;(&quot;#&quot;) &quot;"/>
    <numFmt numFmtId="168" formatCode="_-* #,##0_-;\-* #,##0_-;_-* &quot;-&quot;??_-;_-@_-"/>
  </numFmts>
  <fonts count="43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u/>
      <sz val="10"/>
      <color indexed="12"/>
      <name val="Times New Roman"/>
      <family val="1"/>
    </font>
    <font>
      <u/>
      <sz val="10"/>
      <color indexed="12"/>
      <name val="Courier New"/>
      <family val="3"/>
    </font>
    <font>
      <b/>
      <u/>
      <sz val="10"/>
      <name val="Times New Roman"/>
      <family val="1"/>
    </font>
    <font>
      <sz val="10"/>
      <name val="Courier New"/>
      <family val="3"/>
    </font>
    <font>
      <sz val="8"/>
      <name val="Arial"/>
      <family val="2"/>
    </font>
    <font>
      <sz val="8"/>
      <name val="Courier New"/>
      <family val="3"/>
    </font>
    <font>
      <b/>
      <sz val="8"/>
      <name val="Arial"/>
      <family val="2"/>
    </font>
    <font>
      <sz val="8"/>
      <color indexed="11"/>
      <name val="Arial"/>
      <family val="2"/>
    </font>
    <font>
      <b/>
      <sz val="8"/>
      <color indexed="11"/>
      <name val="Arial"/>
      <family val="2"/>
    </font>
    <font>
      <sz val="8"/>
      <color indexed="11"/>
      <name val="Courier New"/>
      <family val="3"/>
    </font>
    <font>
      <b/>
      <u/>
      <sz val="8"/>
      <color indexed="11"/>
      <name val="Arial"/>
      <family val="2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sz val="10"/>
      <color indexed="11"/>
      <name val="Times New Roman"/>
      <family val="1"/>
    </font>
    <font>
      <b/>
      <sz val="10"/>
      <color indexed="11"/>
      <name val="Times New Roman"/>
      <family val="1"/>
    </font>
    <font>
      <b/>
      <sz val="10"/>
      <name val="Courier New"/>
      <family val="3"/>
    </font>
    <font>
      <b/>
      <sz val="9"/>
      <name val="Times New Roman"/>
      <family val="1"/>
    </font>
    <font>
      <sz val="8"/>
      <name val="Times New Roman"/>
      <family val="1"/>
    </font>
    <font>
      <b/>
      <sz val="10"/>
      <color indexed="10"/>
      <name val="Times New Roman"/>
      <family val="1"/>
    </font>
    <font>
      <u/>
      <sz val="10"/>
      <name val="Times New Roman"/>
      <family val="1"/>
    </font>
    <font>
      <sz val="10"/>
      <color indexed="10"/>
      <name val="Times New Roman"/>
      <family val="1"/>
    </font>
    <font>
      <sz val="10"/>
      <name val="Courier New"/>
      <family val="3"/>
    </font>
    <font>
      <sz val="7.5"/>
      <name val="Courier New"/>
      <family val="3"/>
    </font>
    <font>
      <sz val="10"/>
      <color indexed="11"/>
      <name val="Courier New"/>
      <family val="3"/>
    </font>
    <font>
      <sz val="10"/>
      <color indexed="10"/>
      <name val="Courier New"/>
      <family val="3"/>
    </font>
    <font>
      <b/>
      <sz val="8"/>
      <name val="Times New Roman"/>
      <family val="1"/>
    </font>
    <font>
      <b/>
      <i/>
      <sz val="10"/>
      <name val="Arial"/>
      <family val="2"/>
    </font>
    <font>
      <b/>
      <sz val="10"/>
      <name val="Courier New"/>
      <family val="3"/>
    </font>
    <font>
      <sz val="10"/>
      <color indexed="13"/>
      <name val="Times New Roman"/>
      <family val="1"/>
    </font>
    <font>
      <b/>
      <u/>
      <sz val="10"/>
      <color indexed="8"/>
      <name val="Times New Roman"/>
      <family val="1"/>
    </font>
    <font>
      <sz val="10"/>
      <color indexed="10"/>
      <name val="Arial"/>
      <family val="2"/>
    </font>
    <font>
      <sz val="12"/>
      <name val="Times New Roman"/>
      <family val="1"/>
    </font>
    <font>
      <sz val="9"/>
      <name val="Times New Roman"/>
      <family val="1"/>
    </font>
    <font>
      <u/>
      <sz val="10"/>
      <color indexed="12"/>
      <name val="Courier New"/>
      <family val="3"/>
    </font>
    <font>
      <sz val="10"/>
      <name val="Arial"/>
      <family val="2"/>
    </font>
    <font>
      <b/>
      <sz val="10"/>
      <color rgb="FFFF0000"/>
      <name val="Times New Roman"/>
      <family val="1"/>
    </font>
    <font>
      <sz val="8"/>
      <color theme="9" tint="0.59999389629810485"/>
      <name val="Arial"/>
      <family val="2"/>
    </font>
    <font>
      <b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11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5B1E8"/>
        <bgColor indexed="64"/>
      </patternFill>
    </fill>
    <fill>
      <patternFill patternType="solid">
        <fgColor theme="8" tint="0.59999389629810485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4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38" fillId="0" borderId="0" applyNumberFormat="0" applyFill="0" applyBorder="0" applyAlignment="0" applyProtection="0">
      <alignment vertical="top"/>
      <protection locked="0"/>
    </xf>
    <xf numFmtId="43" fontId="39" fillId="0" borderId="0" applyFont="0" applyFill="0" applyBorder="0" applyAlignment="0" applyProtection="0"/>
  </cellStyleXfs>
  <cellXfs count="493">
    <xf numFmtId="0" fontId="0" fillId="0" borderId="0" xfId="0"/>
    <xf numFmtId="0" fontId="3" fillId="2" borderId="0" xfId="0" applyFont="1" applyFill="1"/>
    <xf numFmtId="0" fontId="0" fillId="2" borderId="0" xfId="0" applyFill="1"/>
    <xf numFmtId="0" fontId="4" fillId="3" borderId="1" xfId="0" applyFont="1" applyFill="1" applyBorder="1" applyAlignment="1" applyProtection="1">
      <alignment horizontal="left" vertical="center" indent="1"/>
    </xf>
    <xf numFmtId="0" fontId="3" fillId="2" borderId="0" xfId="0" applyFont="1" applyFill="1" applyBorder="1"/>
    <xf numFmtId="0" fontId="10" fillId="2" borderId="0" xfId="0" applyFont="1" applyFill="1" applyBorder="1"/>
    <xf numFmtId="0" fontId="10" fillId="2" borderId="0" xfId="0" applyFont="1" applyFill="1" applyBorder="1" applyProtection="1"/>
    <xf numFmtId="1" fontId="11" fillId="2" borderId="0" xfId="0" applyNumberFormat="1" applyFont="1" applyFill="1" applyBorder="1" applyAlignment="1" applyProtection="1">
      <alignment horizontal="left"/>
    </xf>
    <xf numFmtId="0" fontId="2" fillId="2" borderId="0" xfId="0" applyNumberFormat="1" applyFont="1" applyFill="1" applyBorder="1" applyAlignment="1" applyProtection="1">
      <alignment horizontal="left" vertical="center"/>
    </xf>
    <xf numFmtId="0" fontId="2" fillId="2" borderId="0" xfId="0" applyFont="1" applyFill="1" applyBorder="1" applyAlignment="1" applyProtection="1">
      <alignment vertical="center"/>
    </xf>
    <xf numFmtId="0" fontId="10" fillId="2" borderId="0" xfId="0" applyFont="1" applyFill="1"/>
    <xf numFmtId="0" fontId="4" fillId="3" borderId="3" xfId="0" applyFont="1" applyFill="1" applyBorder="1" applyAlignment="1" applyProtection="1">
      <alignment vertical="center"/>
    </xf>
    <xf numFmtId="0" fontId="4" fillId="3" borderId="4" xfId="0" applyFont="1" applyFill="1" applyBorder="1" applyAlignment="1" applyProtection="1">
      <alignment horizontal="left" vertical="center"/>
    </xf>
    <xf numFmtId="0" fontId="12" fillId="2" borderId="0" xfId="0" applyNumberFormat="1" applyFont="1" applyFill="1" applyBorder="1" applyAlignment="1" applyProtection="1">
      <alignment horizontal="left" vertical="center" indent="1"/>
    </xf>
    <xf numFmtId="165" fontId="13" fillId="2" borderId="0" xfId="0" applyNumberFormat="1" applyFont="1" applyFill="1" applyBorder="1" applyAlignment="1" applyProtection="1">
      <alignment horizontal="left"/>
    </xf>
    <xf numFmtId="0" fontId="13" fillId="2" borderId="0" xfId="0" applyFont="1" applyFill="1" applyBorder="1" applyAlignment="1" applyProtection="1">
      <alignment vertical="center"/>
    </xf>
    <xf numFmtId="0" fontId="13" fillId="2" borderId="0" xfId="0" applyFont="1" applyFill="1" applyBorder="1" applyAlignment="1" applyProtection="1">
      <alignment horizontal="right" vertical="center"/>
    </xf>
    <xf numFmtId="0" fontId="3" fillId="4" borderId="0" xfId="0" applyNumberFormat="1" applyFont="1" applyFill="1" applyBorder="1" applyAlignment="1" applyProtection="1">
      <alignment horizontal="left" vertical="center"/>
    </xf>
    <xf numFmtId="0" fontId="3" fillId="4" borderId="2" xfId="0" applyNumberFormat="1" applyFont="1" applyFill="1" applyBorder="1" applyAlignment="1" applyProtection="1">
      <alignment horizontal="left" vertical="center"/>
    </xf>
    <xf numFmtId="0" fontId="7" fillId="4" borderId="0" xfId="0" applyNumberFormat="1" applyFont="1" applyFill="1" applyBorder="1" applyAlignment="1" applyProtection="1">
      <alignment horizontal="left" vertical="center"/>
    </xf>
    <xf numFmtId="0" fontId="3" fillId="4" borderId="6" xfId="0" applyNumberFormat="1" applyFont="1" applyFill="1" applyBorder="1" applyAlignment="1" applyProtection="1">
      <alignment horizontal="left" vertical="center"/>
    </xf>
    <xf numFmtId="0" fontId="5" fillId="4" borderId="7" xfId="0" applyNumberFormat="1" applyFont="1" applyFill="1" applyBorder="1" applyAlignment="1" applyProtection="1">
      <alignment horizontal="left" vertical="center"/>
    </xf>
    <xf numFmtId="0" fontId="3" fillId="2" borderId="0" xfId="0" applyNumberFormat="1" applyFont="1" applyFill="1" applyBorder="1" applyAlignment="1" applyProtection="1">
      <alignment horizontal="left" vertical="center"/>
    </xf>
    <xf numFmtId="0" fontId="3" fillId="2" borderId="0" xfId="0" applyFont="1" applyFill="1" applyBorder="1" applyProtection="1"/>
    <xf numFmtId="0" fontId="12" fillId="2" borderId="0" xfId="0" applyNumberFormat="1" applyFont="1" applyFill="1" applyBorder="1" applyAlignment="1" applyProtection="1">
      <alignment horizontal="left" vertical="center"/>
    </xf>
    <xf numFmtId="1" fontId="11" fillId="2" borderId="0" xfId="0" applyNumberFormat="1" applyFont="1" applyFill="1" applyBorder="1" applyAlignment="1" applyProtection="1">
      <alignment horizontal="left" vertical="center"/>
    </xf>
    <xf numFmtId="0" fontId="14" fillId="2" borderId="0" xfId="0" applyFont="1" applyFill="1" applyBorder="1"/>
    <xf numFmtId="0" fontId="3" fillId="2" borderId="0" xfId="0" applyFont="1" applyFill="1" applyAlignment="1">
      <alignment horizontal="left" indent="1"/>
    </xf>
    <xf numFmtId="0" fontId="15" fillId="2" borderId="0" xfId="0" applyNumberFormat="1" applyFont="1" applyFill="1" applyBorder="1" applyAlignment="1" applyProtection="1">
      <alignment horizontal="left" vertical="center"/>
    </xf>
    <xf numFmtId="0" fontId="15" fillId="2" borderId="0" xfId="0" applyFont="1" applyFill="1" applyBorder="1" applyAlignment="1" applyProtection="1">
      <alignment horizontal="left" indent="1"/>
    </xf>
    <xf numFmtId="0" fontId="15" fillId="2" borderId="0" xfId="0" applyNumberFormat="1" applyFont="1" applyFill="1" applyBorder="1" applyAlignment="1" applyProtection="1">
      <alignment horizontal="left" vertical="center" indent="1"/>
    </xf>
    <xf numFmtId="0" fontId="14" fillId="2" borderId="0" xfId="0" applyFont="1" applyFill="1" applyBorder="1" applyAlignment="1">
      <alignment horizontal="left" indent="1"/>
    </xf>
    <xf numFmtId="0" fontId="10" fillId="2" borderId="0" xfId="0" applyFont="1" applyFill="1" applyAlignment="1">
      <alignment horizontal="left" indent="1"/>
    </xf>
    <xf numFmtId="0" fontId="3" fillId="4" borderId="2" xfId="0" applyFont="1" applyFill="1" applyBorder="1" applyAlignment="1" applyProtection="1">
      <alignment horizontal="center" vertical="center"/>
    </xf>
    <xf numFmtId="0" fontId="18" fillId="2" borderId="0" xfId="0" applyNumberFormat="1" applyFont="1" applyFill="1" applyBorder="1" applyAlignment="1" applyProtection="1">
      <alignment horizontal="left" vertical="center"/>
    </xf>
    <xf numFmtId="0" fontId="3" fillId="4" borderId="5" xfId="0" applyNumberFormat="1" applyFont="1" applyFill="1" applyBorder="1" applyAlignment="1" applyProtection="1">
      <alignment horizontal="left" vertical="center"/>
    </xf>
    <xf numFmtId="0" fontId="3" fillId="3" borderId="9" xfId="0" applyNumberFormat="1" applyFont="1" applyFill="1" applyBorder="1" applyAlignment="1" applyProtection="1">
      <alignment horizontal="left" vertical="center"/>
    </xf>
    <xf numFmtId="165" fontId="4" fillId="3" borderId="3" xfId="0" applyNumberFormat="1" applyFont="1" applyFill="1" applyBorder="1" applyAlignment="1" applyProtection="1">
      <alignment horizontal="left" vertical="center"/>
    </xf>
    <xf numFmtId="0" fontId="3" fillId="4" borderId="13" xfId="0" applyNumberFormat="1" applyFont="1" applyFill="1" applyBorder="1" applyAlignment="1" applyProtection="1">
      <alignment horizontal="left" vertical="center"/>
    </xf>
    <xf numFmtId="0" fontId="4" fillId="2" borderId="6" xfId="0" applyNumberFormat="1" applyFont="1" applyFill="1" applyBorder="1" applyAlignment="1" applyProtection="1">
      <alignment horizontal="left" vertical="center"/>
    </xf>
    <xf numFmtId="0" fontId="3" fillId="2" borderId="6" xfId="0" applyFont="1" applyFill="1" applyBorder="1" applyAlignment="1" applyProtection="1">
      <alignment horizontal="left"/>
    </xf>
    <xf numFmtId="0" fontId="4" fillId="3" borderId="8" xfId="0" applyFont="1" applyFill="1" applyBorder="1" applyAlignment="1" applyProtection="1">
      <alignment horizontal="center" vertical="center"/>
    </xf>
    <xf numFmtId="0" fontId="3" fillId="4" borderId="8" xfId="0" applyFont="1" applyFill="1" applyBorder="1" applyAlignment="1" applyProtection="1">
      <alignment horizontal="center" vertical="center"/>
    </xf>
    <xf numFmtId="0" fontId="3" fillId="4" borderId="15" xfId="0" applyFont="1" applyFill="1" applyBorder="1" applyAlignment="1" applyProtection="1">
      <alignment horizontal="center" vertical="center"/>
    </xf>
    <xf numFmtId="0" fontId="3" fillId="4" borderId="2" xfId="0" applyNumberFormat="1" applyFont="1" applyFill="1" applyBorder="1" applyAlignment="1" applyProtection="1">
      <alignment horizontal="left" vertical="center" indent="1"/>
    </xf>
    <xf numFmtId="0" fontId="3" fillId="4" borderId="2" xfId="0" applyFont="1" applyFill="1" applyBorder="1" applyAlignment="1" applyProtection="1">
      <alignment horizontal="left" vertical="center" indent="1"/>
    </xf>
    <xf numFmtId="0" fontId="30" fillId="2" borderId="0" xfId="0" applyFont="1" applyFill="1" applyAlignment="1">
      <alignment vertical="center"/>
    </xf>
    <xf numFmtId="0" fontId="3" fillId="4" borderId="11" xfId="0" applyFont="1" applyFill="1" applyBorder="1" applyAlignment="1" applyProtection="1">
      <alignment horizontal="center" vertical="center"/>
    </xf>
    <xf numFmtId="0" fontId="31" fillId="2" borderId="0" xfId="0" applyFont="1" applyFill="1"/>
    <xf numFmtId="0" fontId="32" fillId="2" borderId="0" xfId="0" applyFont="1" applyFill="1" applyAlignment="1">
      <alignment vertical="center"/>
    </xf>
    <xf numFmtId="0" fontId="3" fillId="4" borderId="10" xfId="0" applyFont="1" applyFill="1" applyBorder="1" applyAlignment="1" applyProtection="1">
      <alignment horizontal="center" vertical="center"/>
    </xf>
    <xf numFmtId="0" fontId="3" fillId="4" borderId="7" xfId="0" applyFont="1" applyFill="1" applyBorder="1" applyAlignment="1" applyProtection="1">
      <alignment horizontal="center" vertical="center"/>
    </xf>
    <xf numFmtId="0" fontId="3" fillId="4" borderId="10" xfId="0" applyNumberFormat="1" applyFont="1" applyFill="1" applyBorder="1" applyAlignment="1" applyProtection="1">
      <alignment horizontal="left" vertical="center" indent="1"/>
    </xf>
    <xf numFmtId="0" fontId="3" fillId="4" borderId="10" xfId="0" applyFont="1" applyFill="1" applyBorder="1" applyAlignment="1" applyProtection="1">
      <alignment horizontal="left" vertical="center" indent="1"/>
    </xf>
    <xf numFmtId="1" fontId="3" fillId="4" borderId="11" xfId="0" applyNumberFormat="1" applyFont="1" applyFill="1" applyBorder="1" applyAlignment="1">
      <alignment horizontal="center" vertical="center"/>
    </xf>
    <xf numFmtId="0" fontId="4" fillId="3" borderId="4" xfId="0" applyNumberFormat="1" applyFont="1" applyFill="1" applyBorder="1" applyAlignment="1" applyProtection="1">
      <alignment horizontal="left" vertical="center"/>
    </xf>
    <xf numFmtId="0" fontId="17" fillId="4" borderId="0" xfId="0" applyFont="1" applyFill="1" applyAlignment="1">
      <alignment wrapText="1"/>
    </xf>
    <xf numFmtId="0" fontId="17" fillId="4" borderId="2" xfId="0" applyFont="1" applyFill="1" applyBorder="1" applyAlignment="1">
      <alignment wrapText="1"/>
    </xf>
    <xf numFmtId="0" fontId="17" fillId="4" borderId="5" xfId="0" applyFont="1" applyFill="1" applyBorder="1" applyAlignment="1">
      <alignment wrapText="1"/>
    </xf>
    <xf numFmtId="0" fontId="34" fillId="4" borderId="0" xfId="0" applyFont="1" applyFill="1" applyAlignment="1">
      <alignment wrapText="1"/>
    </xf>
    <xf numFmtId="0" fontId="34" fillId="4" borderId="16" xfId="0" applyFont="1" applyFill="1" applyBorder="1" applyAlignment="1">
      <alignment wrapText="1"/>
    </xf>
    <xf numFmtId="0" fontId="17" fillId="4" borderId="13" xfId="0" applyFont="1" applyFill="1" applyBorder="1" applyAlignment="1">
      <alignment wrapText="1"/>
    </xf>
    <xf numFmtId="0" fontId="17" fillId="4" borderId="6" xfId="0" applyFont="1" applyFill="1" applyBorder="1" applyAlignment="1">
      <alignment wrapText="1"/>
    </xf>
    <xf numFmtId="0" fontId="17" fillId="4" borderId="0" xfId="0" applyFont="1" applyFill="1" applyAlignment="1">
      <alignment horizontal="left" wrapText="1"/>
    </xf>
    <xf numFmtId="0" fontId="34" fillId="4" borderId="0" xfId="0" applyFont="1" applyFill="1" applyAlignment="1">
      <alignment horizontal="left" wrapText="1"/>
    </xf>
    <xf numFmtId="0" fontId="3" fillId="4" borderId="14" xfId="0" applyNumberFormat="1" applyFont="1" applyFill="1" applyBorder="1" applyAlignment="1" applyProtection="1">
      <alignment horizontal="left" vertical="center"/>
    </xf>
    <xf numFmtId="0" fontId="3" fillId="4" borderId="12" xfId="0" applyNumberFormat="1" applyFont="1" applyFill="1" applyBorder="1" applyAlignment="1" applyProtection="1">
      <alignment horizontal="left" vertical="center"/>
    </xf>
    <xf numFmtId="1" fontId="13" fillId="2" borderId="0" xfId="0" applyNumberFormat="1" applyFont="1" applyFill="1" applyBorder="1" applyAlignment="1" applyProtection="1">
      <alignment horizontal="left"/>
    </xf>
    <xf numFmtId="165" fontId="19" fillId="2" borderId="0" xfId="0" applyNumberFormat="1" applyFont="1" applyFill="1" applyBorder="1" applyAlignment="1" applyProtection="1">
      <alignment horizontal="left" vertical="center"/>
    </xf>
    <xf numFmtId="0" fontId="19" fillId="2" borderId="0" xfId="0" applyFont="1" applyFill="1" applyBorder="1" applyAlignment="1" applyProtection="1">
      <alignment vertical="center"/>
    </xf>
    <xf numFmtId="0" fontId="19" fillId="2" borderId="0" xfId="0" applyFont="1" applyFill="1" applyBorder="1" applyAlignment="1" applyProtection="1">
      <alignment horizontal="left" vertical="center"/>
    </xf>
    <xf numFmtId="0" fontId="18" fillId="2" borderId="0" xfId="0" applyFont="1" applyFill="1" applyBorder="1" applyAlignment="1">
      <alignment horizontal="left" indent="1"/>
    </xf>
    <xf numFmtId="0" fontId="18" fillId="2" borderId="0" xfId="0" applyFont="1" applyFill="1" applyBorder="1"/>
    <xf numFmtId="0" fontId="14" fillId="2" borderId="0" xfId="0" applyNumberFormat="1" applyFont="1" applyFill="1" applyBorder="1"/>
    <xf numFmtId="0" fontId="13" fillId="2" borderId="0" xfId="0" applyNumberFormat="1" applyFont="1" applyFill="1" applyBorder="1" applyAlignment="1" applyProtection="1">
      <alignment horizontal="left"/>
    </xf>
    <xf numFmtId="0" fontId="4" fillId="3" borderId="3" xfId="0" applyNumberFormat="1" applyFont="1" applyFill="1" applyBorder="1" applyAlignment="1" applyProtection="1">
      <alignment horizontal="left" vertical="center"/>
    </xf>
    <xf numFmtId="0" fontId="4" fillId="3" borderId="3" xfId="0" applyNumberFormat="1" applyFont="1" applyFill="1" applyBorder="1" applyAlignment="1" applyProtection="1">
      <alignment vertical="center"/>
    </xf>
    <xf numFmtId="17" fontId="17" fillId="4" borderId="2" xfId="0" applyNumberFormat="1" applyFont="1" applyFill="1" applyBorder="1" applyAlignment="1">
      <alignment wrapText="1"/>
    </xf>
    <xf numFmtId="0" fontId="3" fillId="4" borderId="14" xfId="0" applyFont="1" applyFill="1" applyBorder="1"/>
    <xf numFmtId="0" fontId="3" fillId="4" borderId="5" xfId="0" applyFont="1" applyFill="1" applyBorder="1"/>
    <xf numFmtId="0" fontId="3" fillId="4" borderId="13" xfId="0" applyFont="1" applyFill="1" applyBorder="1"/>
    <xf numFmtId="0" fontId="3" fillId="4" borderId="11" xfId="0" applyFont="1" applyFill="1" applyBorder="1" applyAlignment="1" applyProtection="1">
      <alignment horizontal="left" vertical="center" indent="1"/>
    </xf>
    <xf numFmtId="0" fontId="5" fillId="4" borderId="2" xfId="0" applyNumberFormat="1" applyFont="1" applyFill="1" applyBorder="1" applyAlignment="1" applyProtection="1">
      <alignment horizontal="left" vertical="center"/>
    </xf>
    <xf numFmtId="0" fontId="17" fillId="4" borderId="12" xfId="0" applyFont="1" applyFill="1" applyBorder="1" applyAlignment="1">
      <alignment wrapText="1"/>
    </xf>
    <xf numFmtId="0" fontId="17" fillId="4" borderId="12" xfId="0" applyFont="1" applyFill="1" applyBorder="1" applyAlignment="1">
      <alignment horizontal="left" wrapText="1"/>
    </xf>
    <xf numFmtId="0" fontId="17" fillId="4" borderId="15" xfId="0" applyFont="1" applyFill="1" applyBorder="1" applyAlignment="1">
      <alignment wrapText="1"/>
    </xf>
    <xf numFmtId="0" fontId="17" fillId="4" borderId="6" xfId="0" applyFont="1" applyFill="1" applyBorder="1" applyAlignment="1">
      <alignment horizontal="left" wrapText="1"/>
    </xf>
    <xf numFmtId="0" fontId="17" fillId="4" borderId="7" xfId="0" applyFont="1" applyFill="1" applyBorder="1" applyAlignment="1">
      <alignment wrapText="1"/>
    </xf>
    <xf numFmtId="0" fontId="17" fillId="4" borderId="15" xfId="0" applyFont="1" applyFill="1" applyBorder="1" applyAlignment="1">
      <alignment horizontal="left" wrapText="1"/>
    </xf>
    <xf numFmtId="0" fontId="5" fillId="4" borderId="2" xfId="1" applyFont="1" applyFill="1" applyBorder="1" applyAlignment="1" applyProtection="1">
      <alignment vertical="center"/>
    </xf>
    <xf numFmtId="49" fontId="3" fillId="4" borderId="0" xfId="0" applyNumberFormat="1" applyFont="1" applyFill="1" applyBorder="1" applyAlignment="1">
      <alignment horizontal="right" vertical="center"/>
    </xf>
    <xf numFmtId="1" fontId="3" fillId="4" borderId="8" xfId="0" applyNumberFormat="1" applyFont="1" applyFill="1" applyBorder="1" applyAlignment="1">
      <alignment horizontal="center"/>
    </xf>
    <xf numFmtId="1" fontId="3" fillId="4" borderId="11" xfId="0" applyNumberFormat="1" applyFont="1" applyFill="1" applyBorder="1" applyAlignment="1">
      <alignment horizontal="center"/>
    </xf>
    <xf numFmtId="49" fontId="3" fillId="4" borderId="12" xfId="0" applyNumberFormat="1" applyFont="1" applyFill="1" applyBorder="1" applyAlignment="1">
      <alignment horizontal="right" vertical="center"/>
    </xf>
    <xf numFmtId="49" fontId="3" fillId="4" borderId="6" xfId="0" applyNumberFormat="1" applyFont="1" applyFill="1" applyBorder="1" applyAlignment="1">
      <alignment horizontal="right" vertical="center"/>
    </xf>
    <xf numFmtId="1" fontId="3" fillId="4" borderId="10" xfId="0" applyNumberFormat="1" applyFont="1" applyFill="1" applyBorder="1" applyAlignment="1">
      <alignment horizontal="center"/>
    </xf>
    <xf numFmtId="0" fontId="5" fillId="4" borderId="2" xfId="1" applyFont="1" applyFill="1" applyBorder="1" applyAlignment="1" applyProtection="1">
      <alignment horizontal="left" vertical="center"/>
    </xf>
    <xf numFmtId="0" fontId="17" fillId="4" borderId="6" xfId="0" applyFont="1" applyFill="1" applyBorder="1" applyAlignment="1"/>
    <xf numFmtId="0" fontId="34" fillId="4" borderId="12" xfId="0" applyFont="1" applyFill="1" applyBorder="1" applyAlignment="1">
      <alignment wrapText="1"/>
    </xf>
    <xf numFmtId="0" fontId="7" fillId="4" borderId="12" xfId="0" applyNumberFormat="1" applyFont="1" applyFill="1" applyBorder="1" applyAlignment="1" applyProtection="1">
      <alignment horizontal="left" vertical="center"/>
    </xf>
    <xf numFmtId="0" fontId="17" fillId="4" borderId="12" xfId="0" applyFont="1" applyFill="1" applyBorder="1" applyAlignment="1"/>
    <xf numFmtId="0" fontId="3" fillId="4" borderId="0" xfId="0" applyNumberFormat="1" applyFont="1" applyFill="1" applyBorder="1" applyAlignment="1" applyProtection="1">
      <alignment horizontal="left" vertical="center"/>
    </xf>
    <xf numFmtId="0" fontId="3" fillId="4" borderId="2" xfId="0" applyNumberFormat="1" applyFont="1" applyFill="1" applyBorder="1" applyAlignment="1" applyProtection="1">
      <alignment horizontal="left" vertical="center"/>
    </xf>
    <xf numFmtId="0" fontId="17" fillId="4" borderId="0" xfId="0" applyFont="1" applyFill="1" applyAlignment="1">
      <alignment wrapText="1"/>
    </xf>
    <xf numFmtId="0" fontId="3" fillId="2" borderId="0" xfId="0" applyNumberFormat="1" applyFont="1" applyFill="1" applyBorder="1" applyAlignment="1" applyProtection="1">
      <alignment horizontal="left" vertical="center"/>
    </xf>
    <xf numFmtId="165" fontId="4" fillId="3" borderId="12" xfId="0" applyNumberFormat="1" applyFont="1" applyFill="1" applyBorder="1" applyAlignment="1" applyProtection="1">
      <alignment horizontal="left" vertical="center"/>
    </xf>
    <xf numFmtId="0" fontId="17" fillId="4" borderId="2" xfId="0" applyFont="1" applyFill="1" applyBorder="1" applyAlignment="1">
      <alignment horizontal="left" wrapText="1"/>
    </xf>
    <xf numFmtId="0" fontId="3" fillId="4" borderId="0" xfId="0" applyNumberFormat="1" applyFont="1" applyFill="1" applyBorder="1" applyAlignment="1" applyProtection="1">
      <alignment horizontal="left" vertical="center"/>
    </xf>
    <xf numFmtId="0" fontId="17" fillId="4" borderId="12" xfId="0" applyFont="1" applyFill="1" applyBorder="1" applyAlignment="1">
      <alignment horizontal="left" vertical="top"/>
    </xf>
    <xf numFmtId="0" fontId="3" fillId="4" borderId="0" xfId="0" applyNumberFormat="1" applyFont="1" applyFill="1" applyBorder="1" applyAlignment="1" applyProtection="1">
      <alignment horizontal="left" vertical="center"/>
    </xf>
    <xf numFmtId="0" fontId="3" fillId="4" borderId="2" xfId="0" applyNumberFormat="1" applyFont="1" applyFill="1" applyBorder="1" applyAlignment="1" applyProtection="1">
      <alignment horizontal="left" vertical="center"/>
    </xf>
    <xf numFmtId="0" fontId="17" fillId="4" borderId="6" xfId="0" applyFont="1" applyFill="1" applyBorder="1" applyAlignment="1">
      <alignment horizontal="left"/>
    </xf>
    <xf numFmtId="0" fontId="3" fillId="4" borderId="0" xfId="0" applyNumberFormat="1" applyFont="1" applyFill="1" applyBorder="1" applyAlignment="1" applyProtection="1">
      <alignment horizontal="left" vertical="center"/>
    </xf>
    <xf numFmtId="0" fontId="3" fillId="4" borderId="2" xfId="0" applyNumberFormat="1" applyFont="1" applyFill="1" applyBorder="1" applyAlignment="1" applyProtection="1">
      <alignment horizontal="left" vertical="center"/>
    </xf>
    <xf numFmtId="0" fontId="17" fillId="4" borderId="12" xfId="0" applyFont="1" applyFill="1" applyBorder="1" applyAlignment="1">
      <alignment vertical="top"/>
    </xf>
    <xf numFmtId="0" fontId="17" fillId="4" borderId="12" xfId="0" applyFont="1" applyFill="1" applyBorder="1" applyAlignment="1">
      <alignment horizontal="left"/>
    </xf>
    <xf numFmtId="0" fontId="0" fillId="5" borderId="0" xfId="0" applyFill="1" applyBorder="1" applyProtection="1"/>
    <xf numFmtId="0" fontId="3" fillId="5" borderId="0" xfId="0" applyFont="1" applyFill="1" applyAlignment="1">
      <alignment vertical="center"/>
    </xf>
    <xf numFmtId="0" fontId="0" fillId="5" borderId="0" xfId="0" applyFill="1" applyAlignment="1" applyProtection="1">
      <alignment vertical="center"/>
    </xf>
    <xf numFmtId="0" fontId="2" fillId="5" borderId="0" xfId="0" applyFont="1" applyFill="1" applyAlignment="1" applyProtection="1">
      <alignment vertical="center"/>
    </xf>
    <xf numFmtId="0" fontId="2" fillId="5" borderId="0" xfId="0" applyNumberFormat="1" applyFont="1" applyFill="1" applyAlignment="1" applyProtection="1">
      <alignment vertical="center"/>
    </xf>
    <xf numFmtId="0" fontId="2" fillId="5" borderId="0" xfId="0" applyNumberFormat="1" applyFont="1" applyFill="1" applyAlignment="1" applyProtection="1">
      <alignment horizontal="right" vertical="center"/>
    </xf>
    <xf numFmtId="0" fontId="3" fillId="5" borderId="0" xfId="0" applyFont="1" applyFill="1" applyAlignment="1" applyProtection="1">
      <alignment vertical="center"/>
    </xf>
    <xf numFmtId="0" fontId="3" fillId="5" borderId="0" xfId="0" applyNumberFormat="1" applyFont="1" applyFill="1" applyAlignment="1" applyProtection="1">
      <alignment horizontal="right" vertical="center"/>
    </xf>
    <xf numFmtId="0" fontId="3" fillId="5" borderId="0" xfId="0" applyFont="1" applyFill="1" applyBorder="1" applyAlignment="1" applyProtection="1">
      <alignment vertical="center"/>
    </xf>
    <xf numFmtId="0" fontId="0" fillId="5" borderId="0" xfId="0" applyFill="1"/>
    <xf numFmtId="0" fontId="0" fillId="5" borderId="0" xfId="0" applyFill="1" applyProtection="1"/>
    <xf numFmtId="0" fontId="3" fillId="5" borderId="0" xfId="0" applyFont="1" applyFill="1" applyBorder="1" applyProtection="1"/>
    <xf numFmtId="0" fontId="4" fillId="5" borderId="11" xfId="0" applyNumberFormat="1" applyFont="1" applyFill="1" applyBorder="1" applyAlignment="1" applyProtection="1">
      <alignment horizontal="right" vertical="center"/>
    </xf>
    <xf numFmtId="0" fontId="0" fillId="5" borderId="0" xfId="0" applyFill="1" applyAlignment="1">
      <alignment vertical="center"/>
    </xf>
    <xf numFmtId="0" fontId="3" fillId="5" borderId="11" xfId="0" applyFont="1" applyFill="1" applyBorder="1" applyAlignment="1" applyProtection="1">
      <alignment horizontal="center" vertical="center"/>
    </xf>
    <xf numFmtId="0" fontId="3" fillId="5" borderId="5" xfId="0" applyNumberFormat="1" applyFont="1" applyFill="1" applyBorder="1" applyAlignment="1" applyProtection="1">
      <alignment horizontal="left" vertical="center" indent="1"/>
    </xf>
    <xf numFmtId="0" fontId="3" fillId="5" borderId="11" xfId="0" applyNumberFormat="1" applyFont="1" applyFill="1" applyBorder="1" applyAlignment="1" applyProtection="1">
      <alignment horizontal="center" vertical="center"/>
    </xf>
    <xf numFmtId="0" fontId="3" fillId="5" borderId="2" xfId="0" applyNumberFormat="1" applyFont="1" applyFill="1" applyBorder="1" applyAlignment="1" applyProtection="1">
      <alignment horizontal="center" vertical="center"/>
    </xf>
    <xf numFmtId="166" fontId="3" fillId="5" borderId="11" xfId="0" applyNumberFormat="1" applyFont="1" applyFill="1" applyBorder="1" applyAlignment="1" applyProtection="1">
      <alignment horizontal="right" vertical="center"/>
    </xf>
    <xf numFmtId="1" fontId="4" fillId="5" borderId="11" xfId="0" applyNumberFormat="1" applyFont="1" applyFill="1" applyBorder="1" applyAlignment="1" applyProtection="1">
      <alignment horizontal="center" vertical="center"/>
    </xf>
    <xf numFmtId="168" fontId="0" fillId="5" borderId="0" xfId="3" applyNumberFormat="1" applyFont="1" applyFill="1"/>
    <xf numFmtId="168" fontId="0" fillId="5" borderId="12" xfId="3" applyNumberFormat="1" applyFont="1" applyFill="1" applyBorder="1" applyAlignment="1">
      <alignment vertical="center"/>
    </xf>
    <xf numFmtId="168" fontId="3" fillId="5" borderId="0" xfId="3" applyNumberFormat="1" applyFont="1" applyFill="1" applyAlignment="1">
      <alignment vertical="center"/>
    </xf>
    <xf numFmtId="168" fontId="0" fillId="5" borderId="0" xfId="3" applyNumberFormat="1" applyFont="1" applyFill="1" applyBorder="1" applyProtection="1"/>
    <xf numFmtId="168" fontId="1" fillId="5" borderId="12" xfId="3" applyNumberFormat="1" applyFont="1" applyFill="1" applyBorder="1" applyAlignment="1">
      <alignment vertical="center"/>
    </xf>
    <xf numFmtId="168" fontId="0" fillId="5" borderId="0" xfId="3" applyNumberFormat="1" applyFont="1" applyFill="1" applyBorder="1" applyAlignment="1">
      <alignment vertical="center"/>
    </xf>
    <xf numFmtId="0" fontId="7" fillId="5" borderId="0" xfId="0" applyFont="1" applyFill="1" applyBorder="1" applyAlignment="1">
      <alignment vertical="center"/>
    </xf>
    <xf numFmtId="0" fontId="4" fillId="5" borderId="0" xfId="0" applyFont="1" applyFill="1" applyBorder="1" applyAlignment="1">
      <alignment vertical="center"/>
    </xf>
    <xf numFmtId="0" fontId="0" fillId="5" borderId="0" xfId="0" applyFill="1" applyBorder="1" applyAlignment="1">
      <alignment vertical="center"/>
    </xf>
    <xf numFmtId="0" fontId="3" fillId="5" borderId="0" xfId="0" applyFont="1" applyFill="1" applyBorder="1" applyAlignment="1">
      <alignment vertical="center"/>
    </xf>
    <xf numFmtId="0" fontId="0" fillId="5" borderId="0" xfId="0" applyFill="1" applyBorder="1"/>
    <xf numFmtId="168" fontId="0" fillId="5" borderId="0" xfId="0" applyNumberFormat="1" applyFill="1"/>
    <xf numFmtId="0" fontId="4" fillId="5" borderId="0" xfId="0" applyFont="1" applyFill="1" applyAlignment="1">
      <alignment vertical="center"/>
    </xf>
    <xf numFmtId="0" fontId="0" fillId="5" borderId="0" xfId="0" applyFill="1" applyAlignment="1"/>
    <xf numFmtId="0" fontId="25" fillId="5" borderId="0" xfId="0" applyFont="1" applyFill="1" applyAlignment="1">
      <alignment vertical="center"/>
    </xf>
    <xf numFmtId="0" fontId="0" fillId="5" borderId="6" xfId="0" applyFill="1" applyBorder="1"/>
    <xf numFmtId="49" fontId="22" fillId="5" borderId="11" xfId="0" applyNumberFormat="1" applyFont="1" applyFill="1" applyBorder="1" applyAlignment="1" applyProtection="1">
      <alignment horizontal="center" vertical="center"/>
    </xf>
    <xf numFmtId="1" fontId="3" fillId="5" borderId="11" xfId="0" applyNumberFormat="1" applyFont="1" applyFill="1" applyBorder="1" applyAlignment="1" applyProtection="1">
      <alignment horizontal="center" vertical="center"/>
    </xf>
    <xf numFmtId="0" fontId="3" fillId="5" borderId="0" xfId="0" applyNumberFormat="1" applyFont="1" applyFill="1" applyBorder="1" applyAlignment="1" applyProtection="1">
      <alignment horizontal="center" vertical="center"/>
    </xf>
    <xf numFmtId="1" fontId="3" fillId="5" borderId="11" xfId="0" applyNumberFormat="1" applyFont="1" applyFill="1" applyBorder="1" applyAlignment="1">
      <alignment horizontal="center" vertical="center"/>
    </xf>
    <xf numFmtId="0" fontId="0" fillId="5" borderId="12" xfId="0" applyFill="1" applyBorder="1"/>
    <xf numFmtId="0" fontId="3" fillId="6" borderId="11" xfId="0" applyFont="1" applyFill="1" applyBorder="1" applyAlignment="1" applyProtection="1">
      <alignment horizontal="center" vertical="center"/>
    </xf>
    <xf numFmtId="0" fontId="3" fillId="6" borderId="5" xfId="0" applyNumberFormat="1" applyFont="1" applyFill="1" applyBorder="1" applyAlignment="1" applyProtection="1">
      <alignment horizontal="left" vertical="center" indent="1"/>
    </xf>
    <xf numFmtId="49" fontId="22" fillId="6" borderId="11" xfId="0" applyNumberFormat="1" applyFont="1" applyFill="1" applyBorder="1" applyAlignment="1" applyProtection="1">
      <alignment horizontal="left" vertical="center"/>
    </xf>
    <xf numFmtId="0" fontId="3" fillId="6" borderId="5" xfId="0" applyNumberFormat="1" applyFont="1" applyFill="1" applyBorder="1" applyAlignment="1" applyProtection="1">
      <alignment horizontal="center" vertical="center"/>
    </xf>
    <xf numFmtId="1" fontId="4" fillId="6" borderId="5" xfId="0" applyNumberFormat="1" applyFont="1" applyFill="1" applyBorder="1" applyAlignment="1" applyProtection="1">
      <alignment horizontal="right" vertical="center"/>
    </xf>
    <xf numFmtId="167" fontId="3" fillId="6" borderId="2" xfId="0" applyNumberFormat="1" applyFont="1" applyFill="1" applyBorder="1" applyAlignment="1" applyProtection="1">
      <alignment horizontal="right" vertical="center"/>
    </xf>
    <xf numFmtId="1" fontId="4" fillId="6" borderId="11" xfId="0" applyNumberFormat="1" applyFont="1" applyFill="1" applyBorder="1" applyAlignment="1" applyProtection="1">
      <alignment horizontal="right" vertical="center" indent="1"/>
    </xf>
    <xf numFmtId="166" fontId="4" fillId="6" borderId="11" xfId="0" applyNumberFormat="1" applyFont="1" applyFill="1" applyBorder="1" applyAlignment="1" applyProtection="1">
      <alignment horizontal="right" vertical="center" indent="1"/>
    </xf>
    <xf numFmtId="166" fontId="4" fillId="6" borderId="10" xfId="0" applyNumberFormat="1" applyFont="1" applyFill="1" applyBorder="1" applyAlignment="1" applyProtection="1">
      <alignment horizontal="right" vertical="center" indent="1"/>
    </xf>
    <xf numFmtId="0" fontId="21" fillId="7" borderId="3" xfId="0" applyNumberFormat="1" applyFont="1" applyFill="1" applyBorder="1" applyAlignment="1" applyProtection="1">
      <alignment horizontal="center" vertical="center"/>
    </xf>
    <xf numFmtId="0" fontId="21" fillId="7" borderId="14" xfId="0" applyNumberFormat="1" applyFont="1" applyFill="1" applyBorder="1" applyAlignment="1" applyProtection="1">
      <alignment horizontal="center" vertical="center"/>
    </xf>
    <xf numFmtId="0" fontId="4" fillId="7" borderId="8" xfId="0" applyNumberFormat="1" applyFont="1" applyFill="1" applyBorder="1" applyAlignment="1" applyProtection="1">
      <alignment horizontal="center" vertical="center"/>
    </xf>
    <xf numFmtId="0" fontId="4" fillId="7" borderId="10" xfId="0" applyNumberFormat="1" applyFont="1" applyFill="1" applyBorder="1" applyAlignment="1" applyProtection="1">
      <alignment horizontal="center" vertical="center"/>
    </xf>
    <xf numFmtId="0" fontId="3" fillId="6" borderId="11" xfId="0" applyNumberFormat="1" applyFont="1" applyFill="1" applyBorder="1" applyAlignment="1" applyProtection="1">
      <alignment horizontal="center" vertical="center"/>
    </xf>
    <xf numFmtId="0" fontId="3" fillId="6" borderId="2" xfId="0" applyNumberFormat="1" applyFont="1" applyFill="1" applyBorder="1" applyAlignment="1" applyProtection="1">
      <alignment horizontal="center" vertical="center"/>
    </xf>
    <xf numFmtId="0" fontId="3" fillId="6" borderId="0" xfId="0" applyNumberFormat="1" applyFont="1" applyFill="1" applyBorder="1" applyAlignment="1" applyProtection="1">
      <alignment horizontal="right" vertical="center"/>
    </xf>
    <xf numFmtId="166" fontId="4" fillId="6" borderId="0" xfId="0" applyNumberFormat="1" applyFont="1" applyFill="1" applyBorder="1" applyAlignment="1" applyProtection="1">
      <alignment horizontal="right" vertical="center"/>
    </xf>
    <xf numFmtId="0" fontId="4" fillId="6" borderId="11" xfId="0" applyNumberFormat="1" applyFont="1" applyFill="1" applyBorder="1" applyAlignment="1" applyProtection="1">
      <alignment horizontal="center" vertical="center"/>
    </xf>
    <xf numFmtId="166" fontId="3" fillId="6" borderId="2" xfId="0" applyNumberFormat="1" applyFont="1" applyFill="1" applyBorder="1" applyAlignment="1" applyProtection="1">
      <alignment horizontal="center" vertical="center"/>
    </xf>
    <xf numFmtId="1" fontId="3" fillId="6" borderId="2" xfId="0" applyNumberFormat="1" applyFont="1" applyFill="1" applyBorder="1" applyAlignment="1" applyProtection="1">
      <alignment horizontal="center" vertical="center"/>
    </xf>
    <xf numFmtId="1" fontId="4" fillId="6" borderId="11" xfId="0" applyNumberFormat="1" applyFont="1" applyFill="1" applyBorder="1" applyAlignment="1" applyProtection="1">
      <alignment horizontal="center" vertical="center"/>
    </xf>
    <xf numFmtId="1" fontId="4" fillId="6" borderId="11" xfId="0" applyNumberFormat="1" applyFont="1" applyFill="1" applyBorder="1" applyAlignment="1">
      <alignment horizontal="right" vertical="center" indent="1"/>
    </xf>
    <xf numFmtId="0" fontId="21" fillId="7" borderId="8" xfId="0" applyNumberFormat="1" applyFont="1" applyFill="1" applyBorder="1" applyAlignment="1" applyProtection="1">
      <alignment horizontal="center" vertical="center"/>
    </xf>
    <xf numFmtId="0" fontId="21" fillId="7" borderId="10" xfId="0" applyNumberFormat="1" applyFont="1" applyFill="1" applyBorder="1" applyAlignment="1" applyProtection="1">
      <alignment horizontal="center" vertical="center"/>
    </xf>
    <xf numFmtId="0" fontId="4" fillId="7" borderId="9" xfId="0" applyNumberFormat="1" applyFont="1" applyFill="1" applyBorder="1" applyAlignment="1" applyProtection="1">
      <alignment horizontal="left" vertical="center" indent="1"/>
    </xf>
    <xf numFmtId="0" fontId="0" fillId="7" borderId="3" xfId="0" applyFill="1" applyBorder="1" applyAlignment="1">
      <alignment horizontal="left" vertical="center"/>
    </xf>
    <xf numFmtId="0" fontId="4" fillId="7" borderId="1" xfId="0" applyFont="1" applyFill="1" applyBorder="1" applyAlignment="1">
      <alignment horizontal="center" vertical="center"/>
    </xf>
    <xf numFmtId="0" fontId="4" fillId="7" borderId="9" xfId="0" applyNumberFormat="1" applyFont="1" applyFill="1" applyBorder="1" applyAlignment="1" applyProtection="1">
      <alignment horizontal="left" vertical="center"/>
    </xf>
    <xf numFmtId="0" fontId="3" fillId="7" borderId="3" xfId="0" applyNumberFormat="1" applyFont="1" applyFill="1" applyBorder="1" applyAlignment="1" applyProtection="1">
      <alignment horizontal="right" vertical="center"/>
    </xf>
    <xf numFmtId="0" fontId="3" fillId="7" borderId="4" xfId="0" applyNumberFormat="1" applyFont="1" applyFill="1" applyBorder="1" applyAlignment="1" applyProtection="1">
      <alignment horizontal="right" vertical="center"/>
    </xf>
    <xf numFmtId="0" fontId="4" fillId="7" borderId="1" xfId="0" applyNumberFormat="1" applyFont="1" applyFill="1" applyBorder="1" applyAlignment="1" applyProtection="1">
      <alignment horizontal="center" vertical="center"/>
    </xf>
    <xf numFmtId="0" fontId="4" fillId="7" borderId="9" xfId="0" applyFont="1" applyFill="1" applyBorder="1" applyAlignment="1" applyProtection="1">
      <alignment horizontal="left" vertical="center" indent="1"/>
    </xf>
    <xf numFmtId="0" fontId="4" fillId="7" borderId="4" xfId="0" applyNumberFormat="1" applyFont="1" applyFill="1" applyBorder="1" applyAlignment="1" applyProtection="1">
      <alignment horizontal="center" vertical="center"/>
    </xf>
    <xf numFmtId="0" fontId="0" fillId="7" borderId="4" xfId="0" applyFill="1" applyBorder="1" applyAlignment="1">
      <alignment horizontal="left" vertical="center"/>
    </xf>
    <xf numFmtId="0" fontId="4" fillId="7" borderId="9" xfId="0" applyNumberFormat="1" applyFont="1" applyFill="1" applyBorder="1" applyAlignment="1" applyProtection="1">
      <alignment horizontal="right" vertical="center"/>
    </xf>
    <xf numFmtId="0" fontId="4" fillId="7" borderId="4" xfId="0" applyNumberFormat="1" applyFont="1" applyFill="1" applyBorder="1" applyAlignment="1" applyProtection="1">
      <alignment horizontal="right" vertical="center"/>
    </xf>
    <xf numFmtId="166" fontId="4" fillId="6" borderId="15" xfId="0" applyNumberFormat="1" applyFont="1" applyFill="1" applyBorder="1" applyAlignment="1" applyProtection="1">
      <alignment horizontal="right" vertical="center"/>
    </xf>
    <xf numFmtId="166" fontId="4" fillId="6" borderId="2" xfId="0" applyNumberFormat="1" applyFont="1" applyFill="1" applyBorder="1" applyAlignment="1" applyProtection="1">
      <alignment horizontal="right" vertical="center"/>
    </xf>
    <xf numFmtId="0" fontId="21" fillId="7" borderId="3" xfId="0" applyNumberFormat="1" applyFont="1" applyFill="1" applyBorder="1" applyAlignment="1" applyProtection="1">
      <alignment horizontal="center" vertical="center" textRotation="90"/>
    </xf>
    <xf numFmtId="0" fontId="3" fillId="6" borderId="10" xfId="0" applyFont="1" applyFill="1" applyBorder="1" applyAlignment="1" applyProtection="1">
      <alignment horizontal="center" vertical="center"/>
    </xf>
    <xf numFmtId="0" fontId="3" fillId="6" borderId="13" xfId="0" applyNumberFormat="1" applyFont="1" applyFill="1" applyBorder="1" applyAlignment="1" applyProtection="1">
      <alignment horizontal="left" vertical="center" indent="1"/>
    </xf>
    <xf numFmtId="49" fontId="22" fillId="6" borderId="10" xfId="0" applyNumberFormat="1" applyFont="1" applyFill="1" applyBorder="1" applyAlignment="1" applyProtection="1">
      <alignment horizontal="left" vertical="center"/>
    </xf>
    <xf numFmtId="0" fontId="3" fillId="6" borderId="10" xfId="0" applyNumberFormat="1" applyFont="1" applyFill="1" applyBorder="1" applyAlignment="1" applyProtection="1">
      <alignment horizontal="center" vertical="center"/>
    </xf>
    <xf numFmtId="0" fontId="4" fillId="7" borderId="4" xfId="0" applyFont="1" applyFill="1" applyBorder="1" applyAlignment="1" applyProtection="1">
      <alignment horizontal="left" vertical="center" indent="1"/>
    </xf>
    <xf numFmtId="0" fontId="4" fillId="7" borderId="1" xfId="0" applyFont="1" applyFill="1" applyBorder="1" applyAlignment="1" applyProtection="1">
      <alignment horizontal="left" vertical="center" indent="1"/>
    </xf>
    <xf numFmtId="0" fontId="2" fillId="5" borderId="0" xfId="0" applyFont="1" applyFill="1"/>
    <xf numFmtId="0" fontId="3" fillId="5" borderId="0" xfId="0" applyFont="1" applyFill="1"/>
    <xf numFmtId="0" fontId="2" fillId="5" borderId="0" xfId="0" applyFont="1" applyFill="1" applyBorder="1" applyAlignment="1">
      <alignment vertical="center"/>
    </xf>
    <xf numFmtId="0" fontId="4" fillId="5" borderId="9" xfId="0" applyFont="1" applyFill="1" applyBorder="1" applyAlignment="1" applyProtection="1">
      <alignment horizontal="left" vertical="center" indent="1"/>
    </xf>
    <xf numFmtId="0" fontId="2" fillId="5" borderId="0" xfId="0" applyFont="1" applyFill="1" applyBorder="1"/>
    <xf numFmtId="0" fontId="3" fillId="5" borderId="12" xfId="0" applyFont="1" applyFill="1" applyBorder="1" applyAlignment="1">
      <alignment vertical="center"/>
    </xf>
    <xf numFmtId="0" fontId="3" fillId="5" borderId="0" xfId="0" applyFont="1" applyFill="1" applyBorder="1" applyAlignment="1">
      <alignment vertical="center"/>
    </xf>
    <xf numFmtId="164" fontId="4" fillId="5" borderId="0" xfId="0" applyNumberFormat="1" applyFont="1" applyFill="1" applyBorder="1" applyAlignment="1">
      <alignment horizontal="left" vertical="center"/>
    </xf>
    <xf numFmtId="0" fontId="3" fillId="5" borderId="0" xfId="0" applyFont="1" applyFill="1" applyBorder="1" applyAlignment="1">
      <alignment horizontal="left" vertical="center"/>
    </xf>
    <xf numFmtId="0" fontId="8" fillId="5" borderId="0" xfId="0" applyFont="1" applyFill="1" applyBorder="1"/>
    <xf numFmtId="0" fontId="4" fillId="5" borderId="0" xfId="0" applyFont="1" applyFill="1" applyAlignment="1">
      <alignment horizontal="left" vertical="center"/>
    </xf>
    <xf numFmtId="164" fontId="4" fillId="5" borderId="0" xfId="0" applyNumberFormat="1" applyFont="1" applyFill="1" applyAlignment="1">
      <alignment horizontal="left" vertical="center"/>
    </xf>
    <xf numFmtId="16" fontId="0" fillId="5" borderId="0" xfId="0" applyNumberFormat="1" applyFill="1"/>
    <xf numFmtId="0" fontId="2" fillId="5" borderId="0" xfId="0" applyFont="1" applyFill="1" applyAlignment="1">
      <alignment vertical="center"/>
    </xf>
    <xf numFmtId="0" fontId="2" fillId="5" borderId="0" xfId="0" applyFont="1" applyFill="1" applyAlignment="1">
      <alignment horizontal="left" vertical="center"/>
    </xf>
    <xf numFmtId="0" fontId="3" fillId="6" borderId="5" xfId="0" applyFont="1" applyFill="1" applyBorder="1" applyAlignment="1">
      <alignment horizontal="left" vertical="center" indent="1"/>
    </xf>
    <xf numFmtId="0" fontId="3" fillId="6" borderId="14" xfId="0" applyFont="1" applyFill="1" applyBorder="1" applyAlignment="1">
      <alignment horizontal="left" vertical="center" indent="1"/>
    </xf>
    <xf numFmtId="0" fontId="3" fillId="6" borderId="15" xfId="0" applyFont="1" applyFill="1" applyBorder="1" applyAlignment="1">
      <alignment horizontal="left" vertical="center" indent="1"/>
    </xf>
    <xf numFmtId="0" fontId="3" fillId="6" borderId="2" xfId="0" applyFont="1" applyFill="1" applyBorder="1" applyAlignment="1">
      <alignment horizontal="left" vertical="center" indent="1"/>
    </xf>
    <xf numFmtId="0" fontId="5" fillId="6" borderId="2" xfId="1" applyFont="1" applyFill="1" applyBorder="1" applyAlignment="1" applyProtection="1">
      <alignment horizontal="center" vertical="center"/>
    </xf>
    <xf numFmtId="0" fontId="5" fillId="6" borderId="11" xfId="1" applyFont="1" applyFill="1" applyBorder="1" applyAlignment="1" applyProtection="1">
      <alignment horizontal="center" vertical="center"/>
    </xf>
    <xf numFmtId="0" fontId="6" fillId="6" borderId="17" xfId="1" applyFill="1" applyBorder="1" applyAlignment="1" applyProtection="1">
      <alignment horizontal="center" vertical="center" wrapText="1"/>
    </xf>
    <xf numFmtId="0" fontId="6" fillId="6" borderId="18" xfId="1" applyFill="1" applyBorder="1" applyAlignment="1" applyProtection="1">
      <alignment horizontal="center" vertical="center" wrapText="1"/>
    </xf>
    <xf numFmtId="0" fontId="3" fillId="6" borderId="2" xfId="0" applyFont="1" applyFill="1" applyBorder="1" applyAlignment="1">
      <alignment horizontal="center" vertical="center"/>
    </xf>
    <xf numFmtId="0" fontId="3" fillId="6" borderId="13" xfId="0" applyFont="1" applyFill="1" applyBorder="1" applyAlignment="1">
      <alignment horizontal="left" vertical="center" indent="1"/>
    </xf>
    <xf numFmtId="0" fontId="3" fillId="6" borderId="7" xfId="0" applyFont="1" applyFill="1" applyBorder="1" applyAlignment="1">
      <alignment horizontal="left" vertical="center" indent="1"/>
    </xf>
    <xf numFmtId="49" fontId="3" fillId="6" borderId="14" xfId="0" applyNumberFormat="1" applyFont="1" applyFill="1" applyBorder="1" applyAlignment="1">
      <alignment horizontal="right" vertical="center"/>
    </xf>
    <xf numFmtId="1" fontId="3" fillId="6" borderId="8" xfId="0" applyNumberFormat="1" applyFont="1" applyFill="1" applyBorder="1" applyAlignment="1">
      <alignment horizontal="center" vertical="center"/>
    </xf>
    <xf numFmtId="49" fontId="3" fillId="6" borderId="5" xfId="0" applyNumberFormat="1" applyFont="1" applyFill="1" applyBorder="1" applyAlignment="1">
      <alignment horizontal="right" vertical="center"/>
    </xf>
    <xf numFmtId="1" fontId="3" fillId="6" borderId="11" xfId="0" applyNumberFormat="1" applyFont="1" applyFill="1" applyBorder="1" applyAlignment="1">
      <alignment horizontal="center" vertical="center"/>
    </xf>
    <xf numFmtId="49" fontId="3" fillId="6" borderId="13" xfId="0" applyNumberFormat="1" applyFont="1" applyFill="1" applyBorder="1" applyAlignment="1">
      <alignment horizontal="right" vertical="center"/>
    </xf>
    <xf numFmtId="1" fontId="3" fillId="6" borderId="10" xfId="0" applyNumberFormat="1" applyFont="1" applyFill="1" applyBorder="1" applyAlignment="1">
      <alignment horizontal="center" vertical="center"/>
    </xf>
    <xf numFmtId="0" fontId="41" fillId="5" borderId="0" xfId="0" applyFont="1" applyFill="1" applyBorder="1"/>
    <xf numFmtId="0" fontId="21" fillId="7" borderId="11" xfId="0" applyNumberFormat="1" applyFont="1" applyFill="1" applyBorder="1" applyAlignment="1" applyProtection="1">
      <alignment horizontal="center" vertical="center"/>
    </xf>
    <xf numFmtId="0" fontId="21" fillId="7" borderId="5" xfId="0" applyNumberFormat="1" applyFont="1" applyFill="1" applyBorder="1" applyAlignment="1" applyProtection="1">
      <alignment horizontal="center" vertical="center"/>
    </xf>
    <xf numFmtId="0" fontId="4" fillId="7" borderId="13" xfId="0" applyNumberFormat="1" applyFont="1" applyFill="1" applyBorder="1" applyAlignment="1" applyProtection="1">
      <alignment horizontal="center" vertical="center"/>
    </xf>
    <xf numFmtId="0" fontId="4" fillId="7" borderId="4" xfId="0" applyNumberFormat="1" applyFont="1" applyFill="1" applyBorder="1" applyAlignment="1" applyProtection="1">
      <alignment horizontal="left" vertical="center"/>
    </xf>
    <xf numFmtId="0" fontId="2" fillId="5" borderId="0" xfId="0" applyFont="1" applyFill="1" applyBorder="1" applyAlignment="1" applyProtection="1">
      <alignment vertical="center"/>
    </xf>
    <xf numFmtId="0" fontId="3" fillId="5" borderId="0" xfId="0" applyFont="1" applyFill="1" applyAlignment="1" applyProtection="1">
      <alignment horizontal="center" textRotation="90"/>
    </xf>
    <xf numFmtId="0" fontId="3" fillId="5" borderId="5" xfId="0" applyFont="1" applyFill="1" applyBorder="1" applyAlignment="1" applyProtection="1">
      <alignment horizontal="right" textRotation="90"/>
    </xf>
    <xf numFmtId="0" fontId="18" fillId="5" borderId="0" xfId="0" applyFont="1" applyFill="1" applyBorder="1" applyAlignment="1" applyProtection="1">
      <alignment horizontal="right" textRotation="90"/>
    </xf>
    <xf numFmtId="0" fontId="3" fillId="5" borderId="0" xfId="0" applyFont="1" applyFill="1" applyBorder="1" applyAlignment="1" applyProtection="1">
      <alignment horizontal="right" textRotation="90"/>
    </xf>
    <xf numFmtId="0" fontId="21" fillId="5" borderId="8" xfId="0" applyNumberFormat="1" applyFont="1" applyFill="1" applyBorder="1" applyAlignment="1" applyProtection="1">
      <alignment horizontal="center" vertical="center"/>
    </xf>
    <xf numFmtId="0" fontId="4" fillId="5" borderId="8" xfId="0" applyNumberFormat="1" applyFont="1" applyFill="1" applyBorder="1" applyAlignment="1" applyProtection="1">
      <alignment horizontal="center" vertical="center"/>
    </xf>
    <xf numFmtId="0" fontId="4" fillId="5" borderId="0" xfId="0" applyFont="1" applyFill="1" applyBorder="1" applyAlignment="1" applyProtection="1">
      <alignment horizontal="center"/>
    </xf>
    <xf numFmtId="0" fontId="4" fillId="5" borderId="9" xfId="0" applyNumberFormat="1" applyFont="1" applyFill="1" applyBorder="1" applyAlignment="1" applyProtection="1">
      <alignment horizontal="left" vertical="center" indent="1"/>
    </xf>
    <xf numFmtId="0" fontId="4" fillId="5" borderId="4" xfId="0" applyNumberFormat="1" applyFont="1" applyFill="1" applyBorder="1" applyAlignment="1" applyProtection="1">
      <alignment horizontal="center" vertical="center"/>
    </xf>
    <xf numFmtId="0" fontId="4" fillId="5" borderId="1" xfId="0" applyNumberFormat="1" applyFont="1" applyFill="1" applyBorder="1" applyAlignment="1" applyProtection="1">
      <alignment horizontal="center" vertical="center"/>
    </xf>
    <xf numFmtId="0" fontId="4" fillId="5" borderId="9" xfId="0" applyNumberFormat="1" applyFont="1" applyFill="1" applyBorder="1" applyAlignment="1" applyProtection="1">
      <alignment horizontal="right" vertical="center"/>
    </xf>
    <xf numFmtId="0" fontId="4" fillId="5" borderId="4" xfId="0" applyNumberFormat="1" applyFont="1" applyFill="1" applyBorder="1" applyAlignment="1" applyProtection="1">
      <alignment horizontal="right" vertical="center"/>
    </xf>
    <xf numFmtId="0" fontId="21" fillId="5" borderId="10" xfId="0" applyNumberFormat="1" applyFont="1" applyFill="1" applyBorder="1" applyAlignment="1" applyProtection="1">
      <alignment horizontal="center" vertical="center"/>
    </xf>
    <xf numFmtId="0" fontId="4" fillId="5" borderId="13" xfId="0" applyNumberFormat="1" applyFont="1" applyFill="1" applyBorder="1" applyAlignment="1" applyProtection="1">
      <alignment horizontal="center" vertical="center"/>
    </xf>
    <xf numFmtId="0" fontId="3" fillId="5" borderId="0" xfId="0" applyFont="1" applyFill="1" applyBorder="1" applyAlignment="1" applyProtection="1">
      <alignment horizontal="right" vertical="center" textRotation="90"/>
    </xf>
    <xf numFmtId="0" fontId="18" fillId="5" borderId="0" xfId="0" applyFont="1" applyFill="1" applyBorder="1" applyAlignment="1" applyProtection="1">
      <alignment horizontal="right" vertical="center" textRotation="90"/>
    </xf>
    <xf numFmtId="0" fontId="4" fillId="5" borderId="10" xfId="0" applyNumberFormat="1" applyFont="1" applyFill="1" applyBorder="1" applyAlignment="1" applyProtection="1">
      <alignment horizontal="center" vertical="center"/>
    </xf>
    <xf numFmtId="49" fontId="22" fillId="5" borderId="11" xfId="0" applyNumberFormat="1" applyFont="1" applyFill="1" applyBorder="1" applyAlignment="1" applyProtection="1">
      <alignment horizontal="left" vertical="center"/>
    </xf>
    <xf numFmtId="0" fontId="3" fillId="5" borderId="0" xfId="0" applyNumberFormat="1" applyFont="1" applyFill="1" applyBorder="1" applyAlignment="1" applyProtection="1">
      <alignment horizontal="right" vertical="center"/>
    </xf>
    <xf numFmtId="166" fontId="4" fillId="5" borderId="0" xfId="0" applyNumberFormat="1" applyFont="1" applyFill="1" applyBorder="1" applyAlignment="1" applyProtection="1">
      <alignment horizontal="right" vertical="center"/>
    </xf>
    <xf numFmtId="1" fontId="4" fillId="5" borderId="11" xfId="0" applyNumberFormat="1" applyFont="1" applyFill="1" applyBorder="1" applyAlignment="1">
      <alignment horizontal="right" vertical="center" indent="1"/>
    </xf>
    <xf numFmtId="166" fontId="3" fillId="5" borderId="11" xfId="0" applyNumberFormat="1" applyFont="1" applyFill="1" applyBorder="1" applyAlignment="1" applyProtection="1">
      <alignment horizontal="center" vertical="center"/>
    </xf>
    <xf numFmtId="0" fontId="3" fillId="5" borderId="5" xfId="0" applyFont="1" applyFill="1" applyBorder="1" applyAlignment="1" applyProtection="1">
      <alignment vertical="center"/>
    </xf>
    <xf numFmtId="0" fontId="3" fillId="5" borderId="2" xfId="0" applyFont="1" applyFill="1" applyBorder="1" applyAlignment="1" applyProtection="1">
      <alignment horizontal="center" vertical="center"/>
    </xf>
    <xf numFmtId="0" fontId="17" fillId="5" borderId="0" xfId="0" applyFont="1" applyFill="1" applyBorder="1" applyAlignment="1" applyProtection="1">
      <alignment vertical="center"/>
    </xf>
    <xf numFmtId="0" fontId="3" fillId="5" borderId="5" xfId="0" applyFont="1" applyFill="1" applyBorder="1" applyAlignment="1" applyProtection="1">
      <alignment horizontal="right" vertical="center"/>
    </xf>
    <xf numFmtId="0" fontId="18" fillId="5" borderId="0" xfId="0" applyFont="1" applyFill="1" applyBorder="1" applyAlignment="1" applyProtection="1">
      <alignment horizontal="left" vertical="center"/>
    </xf>
    <xf numFmtId="0" fontId="17" fillId="5" borderId="0" xfId="0" applyFont="1" applyFill="1" applyBorder="1" applyAlignment="1" applyProtection="1">
      <alignment horizontal="left" vertical="center"/>
    </xf>
    <xf numFmtId="0" fontId="3" fillId="5" borderId="0" xfId="0" applyFont="1" applyFill="1" applyBorder="1" applyAlignment="1" applyProtection="1">
      <alignment horizontal="left" vertical="center"/>
    </xf>
    <xf numFmtId="0" fontId="3" fillId="5" borderId="0" xfId="0" applyFont="1" applyFill="1" applyBorder="1" applyAlignment="1" applyProtection="1">
      <alignment horizontal="right" vertical="center"/>
    </xf>
    <xf numFmtId="0" fontId="3" fillId="5" borderId="0" xfId="0" applyFont="1" applyFill="1" applyBorder="1" applyAlignment="1" applyProtection="1">
      <alignment horizontal="center" vertical="center"/>
    </xf>
    <xf numFmtId="1" fontId="23" fillId="5" borderId="11" xfId="0" applyNumberFormat="1" applyFont="1" applyFill="1" applyBorder="1" applyAlignment="1" applyProtection="1">
      <alignment horizontal="center" vertical="center"/>
    </xf>
    <xf numFmtId="1" fontId="3" fillId="5" borderId="12" xfId="0" applyNumberFormat="1" applyFont="1" applyFill="1" applyBorder="1" applyAlignment="1" applyProtection="1">
      <alignment vertical="center"/>
    </xf>
    <xf numFmtId="0" fontId="3" fillId="5" borderId="12" xfId="0" applyFont="1" applyFill="1" applyBorder="1" applyAlignment="1" applyProtection="1">
      <alignment vertical="center"/>
    </xf>
    <xf numFmtId="0" fontId="2" fillId="5" borderId="0" xfId="0" applyNumberFormat="1" applyFont="1" applyFill="1" applyBorder="1" applyAlignment="1" applyProtection="1">
      <alignment horizontal="right" vertical="center"/>
    </xf>
    <xf numFmtId="0" fontId="2" fillId="5" borderId="12" xfId="0" applyFont="1" applyFill="1" applyBorder="1" applyAlignment="1" applyProtection="1">
      <alignment vertical="center"/>
    </xf>
    <xf numFmtId="0" fontId="2" fillId="5" borderId="12" xfId="0" applyFont="1" applyFill="1" applyBorder="1" applyAlignment="1" applyProtection="1">
      <alignment horizontal="right" vertical="center"/>
    </xf>
    <xf numFmtId="0" fontId="2" fillId="5" borderId="0" xfId="0" applyFont="1" applyFill="1" applyBorder="1" applyAlignment="1" applyProtection="1">
      <alignment horizontal="right" vertical="center"/>
    </xf>
    <xf numFmtId="1" fontId="3" fillId="5" borderId="0" xfId="0" applyNumberFormat="1" applyFont="1" applyFill="1" applyBorder="1" applyAlignment="1" applyProtection="1">
      <alignment vertical="center"/>
    </xf>
    <xf numFmtId="1" fontId="3" fillId="5" borderId="0" xfId="0" applyNumberFormat="1" applyFont="1" applyFill="1" applyBorder="1" applyAlignment="1" applyProtection="1">
      <alignment horizontal="left" vertical="center"/>
    </xf>
    <xf numFmtId="0" fontId="4" fillId="5" borderId="4" xfId="0" applyNumberFormat="1" applyFont="1" applyFill="1" applyBorder="1" applyAlignment="1" applyProtection="1">
      <alignment horizontal="left" vertical="center"/>
    </xf>
    <xf numFmtId="0" fontId="2" fillId="5" borderId="6" xfId="0" applyFont="1" applyFill="1" applyBorder="1" applyAlignment="1" applyProtection="1">
      <alignment vertical="center"/>
    </xf>
    <xf numFmtId="0" fontId="2" fillId="5" borderId="6" xfId="0" applyFont="1" applyFill="1" applyBorder="1" applyAlignment="1" applyProtection="1">
      <alignment horizontal="right" vertical="center"/>
    </xf>
    <xf numFmtId="0" fontId="16" fillId="5" borderId="0" xfId="0" applyFont="1" applyFill="1" applyBorder="1" applyAlignment="1" applyProtection="1">
      <alignment vertical="center"/>
    </xf>
    <xf numFmtId="0" fontId="18" fillId="5" borderId="5" xfId="0" applyFont="1" applyFill="1" applyBorder="1" applyAlignment="1" applyProtection="1">
      <alignment horizontal="left" vertical="center"/>
    </xf>
    <xf numFmtId="0" fontId="0" fillId="5" borderId="0" xfId="0" applyFill="1" applyAlignment="1">
      <alignment vertical="center"/>
    </xf>
    <xf numFmtId="0" fontId="25" fillId="5" borderId="0" xfId="0" applyNumberFormat="1" applyFont="1" applyFill="1" applyBorder="1" applyAlignment="1" applyProtection="1">
      <alignment horizontal="left" vertical="center"/>
    </xf>
    <xf numFmtId="0" fontId="3" fillId="5" borderId="0" xfId="0" applyNumberFormat="1" applyFont="1" applyFill="1" applyBorder="1" applyAlignment="1" applyProtection="1">
      <alignment vertical="center"/>
    </xf>
    <xf numFmtId="0" fontId="3" fillId="5" borderId="0" xfId="0" applyNumberFormat="1" applyFont="1" applyFill="1" applyAlignment="1" applyProtection="1">
      <alignment vertical="center"/>
    </xf>
    <xf numFmtId="0" fontId="17" fillId="5" borderId="5" xfId="0" applyFont="1" applyFill="1" applyBorder="1" applyAlignment="1" applyProtection="1">
      <alignment vertical="center"/>
    </xf>
    <xf numFmtId="0" fontId="3" fillId="5" borderId="5" xfId="0" applyFont="1" applyFill="1" applyBorder="1" applyAlignment="1" applyProtection="1">
      <alignment horizontal="left" vertical="center"/>
    </xf>
    <xf numFmtId="0" fontId="4" fillId="5" borderId="11" xfId="0" applyFont="1" applyFill="1" applyBorder="1" applyAlignment="1" applyProtection="1">
      <alignment horizontal="center" vertical="center"/>
    </xf>
    <xf numFmtId="0" fontId="18" fillId="5" borderId="0" xfId="0" applyFont="1" applyFill="1" applyBorder="1" applyAlignment="1" applyProtection="1">
      <alignment vertical="center"/>
    </xf>
    <xf numFmtId="0" fontId="26" fillId="5" borderId="0" xfId="0" applyFont="1" applyFill="1" applyAlignment="1"/>
    <xf numFmtId="166" fontId="3" fillId="6" borderId="11" xfId="0" applyNumberFormat="1" applyFont="1" applyFill="1" applyBorder="1" applyAlignment="1" applyProtection="1">
      <alignment horizontal="center" vertical="center"/>
    </xf>
    <xf numFmtId="166" fontId="40" fillId="6" borderId="0" xfId="0" applyNumberFormat="1" applyFont="1" applyFill="1" applyBorder="1" applyAlignment="1" applyProtection="1">
      <alignment horizontal="right" vertical="center"/>
    </xf>
    <xf numFmtId="1" fontId="3" fillId="6" borderId="11" xfId="0" applyNumberFormat="1" applyFont="1" applyFill="1" applyBorder="1" applyAlignment="1" applyProtection="1">
      <alignment horizontal="center" vertical="center"/>
    </xf>
    <xf numFmtId="166" fontId="3" fillId="6" borderId="11" xfId="0" applyNumberFormat="1" applyFont="1" applyFill="1" applyBorder="1" applyAlignment="1" applyProtection="1">
      <alignment vertical="center"/>
    </xf>
    <xf numFmtId="1" fontId="23" fillId="6" borderId="11" xfId="0" applyNumberFormat="1" applyFont="1" applyFill="1" applyBorder="1" applyAlignment="1" applyProtection="1">
      <alignment horizontal="center" vertical="center"/>
    </xf>
    <xf numFmtId="0" fontId="3" fillId="6" borderId="5" xfId="0" applyFont="1" applyFill="1" applyBorder="1" applyAlignment="1" applyProtection="1">
      <alignment vertical="center"/>
    </xf>
    <xf numFmtId="0" fontId="3" fillId="6" borderId="2" xfId="0" applyFont="1" applyFill="1" applyBorder="1" applyAlignment="1" applyProtection="1">
      <alignment horizontal="center" vertical="center"/>
    </xf>
    <xf numFmtId="0" fontId="27" fillId="5" borderId="0" xfId="0" applyFont="1" applyFill="1" applyProtection="1"/>
    <xf numFmtId="0" fontId="27" fillId="5" borderId="0" xfId="0" applyFont="1" applyFill="1" applyAlignment="1" applyProtection="1">
      <alignment vertical="center"/>
    </xf>
    <xf numFmtId="0" fontId="0" fillId="5" borderId="0" xfId="0" applyFill="1" applyBorder="1" applyAlignment="1" applyProtection="1">
      <alignment vertical="center"/>
    </xf>
    <xf numFmtId="0" fontId="4" fillId="5" borderId="9" xfId="0" applyNumberFormat="1" applyFont="1" applyFill="1" applyBorder="1" applyAlignment="1" applyProtection="1">
      <alignment horizontal="left" vertical="center"/>
    </xf>
    <xf numFmtId="0" fontId="3" fillId="5" borderId="3" xfId="0" applyNumberFormat="1" applyFont="1" applyFill="1" applyBorder="1" applyAlignment="1" applyProtection="1">
      <alignment horizontal="right" vertical="center"/>
    </xf>
    <xf numFmtId="0" fontId="3" fillId="5" borderId="4" xfId="0" applyNumberFormat="1" applyFont="1" applyFill="1" applyBorder="1" applyAlignment="1" applyProtection="1">
      <alignment horizontal="right" vertical="center"/>
    </xf>
    <xf numFmtId="0" fontId="12" fillId="5" borderId="0" xfId="0" applyFont="1" applyFill="1" applyBorder="1" applyAlignment="1" applyProtection="1">
      <alignment vertical="center"/>
    </xf>
    <xf numFmtId="0" fontId="4" fillId="5" borderId="0" xfId="0" applyNumberFormat="1" applyFont="1" applyFill="1" applyBorder="1" applyAlignment="1" applyProtection="1">
      <alignment vertical="center"/>
    </xf>
    <xf numFmtId="0" fontId="13" fillId="5" borderId="0" xfId="0" applyNumberFormat="1" applyFont="1" applyFill="1" applyBorder="1" applyAlignment="1" applyProtection="1">
      <alignment vertical="center"/>
    </xf>
    <xf numFmtId="0" fontId="36" fillId="5" borderId="0" xfId="0" applyFont="1" applyFill="1" applyAlignment="1" applyProtection="1">
      <alignment vertical="center"/>
    </xf>
    <xf numFmtId="0" fontId="4" fillId="5" borderId="2" xfId="0" applyNumberFormat="1" applyFont="1" applyFill="1" applyBorder="1" applyAlignment="1" applyProtection="1">
      <alignment horizontal="right" vertical="center"/>
    </xf>
    <xf numFmtId="0" fontId="4" fillId="5" borderId="0" xfId="0" applyNumberFormat="1" applyFont="1" applyFill="1" applyBorder="1" applyAlignment="1" applyProtection="1">
      <alignment horizontal="center" vertical="center"/>
    </xf>
    <xf numFmtId="0" fontId="28" fillId="5" borderId="0" xfId="0" applyFont="1" applyFill="1" applyBorder="1" applyAlignment="1" applyProtection="1">
      <alignment vertical="center"/>
    </xf>
    <xf numFmtId="0" fontId="13" fillId="5" borderId="0" xfId="0" applyNumberFormat="1" applyFont="1" applyFill="1" applyBorder="1" applyAlignment="1" applyProtection="1">
      <alignment horizontal="right" vertical="center"/>
    </xf>
    <xf numFmtId="166" fontId="3" fillId="5" borderId="2" xfId="0" applyNumberFormat="1" applyFont="1" applyFill="1" applyBorder="1" applyAlignment="1" applyProtection="1">
      <alignment horizontal="center" vertical="center"/>
    </xf>
    <xf numFmtId="1" fontId="3" fillId="5" borderId="2" xfId="0" applyNumberFormat="1" applyFont="1" applyFill="1" applyBorder="1" applyAlignment="1" applyProtection="1">
      <alignment horizontal="center" vertical="center"/>
    </xf>
    <xf numFmtId="166" fontId="4" fillId="5" borderId="2" xfId="0" applyNumberFormat="1" applyFont="1" applyFill="1" applyBorder="1" applyAlignment="1" applyProtection="1">
      <alignment horizontal="center" vertical="center"/>
    </xf>
    <xf numFmtId="1" fontId="4" fillId="5" borderId="11" xfId="0" applyNumberFormat="1" applyFont="1" applyFill="1" applyBorder="1" applyAlignment="1" applyProtection="1">
      <alignment horizontal="right" vertical="center" indent="1"/>
    </xf>
    <xf numFmtId="0" fontId="18" fillId="5" borderId="0" xfId="0" applyNumberFormat="1" applyFont="1" applyFill="1" applyBorder="1" applyAlignment="1" applyProtection="1">
      <alignment horizontal="right" vertical="center"/>
    </xf>
    <xf numFmtId="1" fontId="3" fillId="5" borderId="0" xfId="0" applyNumberFormat="1" applyFont="1" applyFill="1" applyBorder="1" applyAlignment="1" applyProtection="1">
      <alignment horizontal="center" vertical="center"/>
    </xf>
    <xf numFmtId="0" fontId="4" fillId="5" borderId="12" xfId="0" applyNumberFormat="1" applyFont="1" applyFill="1" applyBorder="1" applyAlignment="1" applyProtection="1">
      <alignment horizontal="left" vertical="center"/>
    </xf>
    <xf numFmtId="0" fontId="3" fillId="5" borderId="12" xfId="0" applyNumberFormat="1" applyFont="1" applyFill="1" applyBorder="1" applyAlignment="1" applyProtection="1">
      <alignment horizontal="right" vertical="center"/>
    </xf>
    <xf numFmtId="166" fontId="3" fillId="5" borderId="12" xfId="0" applyNumberFormat="1" applyFont="1" applyFill="1" applyBorder="1" applyAlignment="1" applyProtection="1">
      <alignment horizontal="right" vertical="center"/>
    </xf>
    <xf numFmtId="0" fontId="4" fillId="5" borderId="0" xfId="0" applyNumberFormat="1" applyFont="1" applyFill="1" applyBorder="1" applyAlignment="1" applyProtection="1">
      <alignment horizontal="left" vertical="center"/>
    </xf>
    <xf numFmtId="0" fontId="4" fillId="5" borderId="6" xfId="0" applyNumberFormat="1" applyFont="1" applyFill="1" applyBorder="1" applyAlignment="1" applyProtection="1">
      <alignment vertical="center"/>
    </xf>
    <xf numFmtId="0" fontId="3" fillId="5" borderId="6" xfId="0" applyFont="1" applyFill="1" applyBorder="1" applyAlignment="1" applyProtection="1">
      <alignment vertical="center"/>
    </xf>
    <xf numFmtId="0" fontId="4" fillId="5" borderId="0" xfId="0" applyNumberFormat="1" applyFont="1" applyFill="1" applyBorder="1" applyAlignment="1" applyProtection="1">
      <alignment horizontal="right" vertical="center"/>
    </xf>
    <xf numFmtId="1" fontId="3" fillId="5" borderId="12" xfId="0" applyNumberFormat="1" applyFont="1" applyFill="1" applyBorder="1" applyAlignment="1" applyProtection="1">
      <alignment horizontal="right" vertical="center"/>
    </xf>
    <xf numFmtId="0" fontId="7" fillId="5" borderId="0" xfId="0" applyNumberFormat="1" applyFont="1" applyFill="1" applyBorder="1" applyAlignment="1" applyProtection="1">
      <alignment horizontal="left" vertical="center"/>
    </xf>
    <xf numFmtId="1" fontId="3" fillId="5" borderId="0" xfId="0" applyNumberFormat="1" applyFont="1" applyFill="1" applyBorder="1" applyAlignment="1" applyProtection="1">
      <alignment horizontal="right" vertical="center"/>
    </xf>
    <xf numFmtId="0" fontId="3" fillId="5" borderId="0" xfId="0" applyNumberFormat="1" applyFont="1" applyFill="1" applyBorder="1" applyAlignment="1" applyProtection="1">
      <alignment horizontal="left" vertical="center"/>
    </xf>
    <xf numFmtId="0" fontId="4" fillId="5" borderId="6" xfId="0" applyNumberFormat="1" applyFont="1" applyFill="1" applyBorder="1" applyAlignment="1" applyProtection="1">
      <alignment horizontal="center" vertical="center"/>
    </xf>
    <xf numFmtId="0" fontId="4" fillId="5" borderId="7" xfId="0" applyNumberFormat="1" applyFont="1" applyFill="1" applyBorder="1" applyAlignment="1" applyProtection="1">
      <alignment horizontal="center" vertical="center"/>
    </xf>
    <xf numFmtId="49" fontId="22" fillId="5" borderId="11" xfId="0" applyNumberFormat="1" applyFont="1" applyFill="1" applyBorder="1" applyAlignment="1" applyProtection="1">
      <alignment vertical="center"/>
    </xf>
    <xf numFmtId="0" fontId="3" fillId="5" borderId="11" xfId="0" applyNumberFormat="1" applyFont="1" applyFill="1" applyBorder="1" applyAlignment="1" applyProtection="1">
      <alignment horizontal="right" vertical="center"/>
    </xf>
    <xf numFmtId="0" fontId="20" fillId="5" borderId="0" xfId="0" applyFont="1" applyFill="1" applyAlignment="1" applyProtection="1">
      <alignment vertical="center"/>
    </xf>
    <xf numFmtId="0" fontId="21" fillId="7" borderId="14" xfId="0" applyNumberFormat="1" applyFont="1" applyFill="1" applyBorder="1" applyAlignment="1" applyProtection="1">
      <alignment vertical="center"/>
    </xf>
    <xf numFmtId="0" fontId="0" fillId="7" borderId="15" xfId="0" applyFill="1" applyBorder="1" applyAlignment="1">
      <alignment vertical="center"/>
    </xf>
    <xf numFmtId="0" fontId="21" fillId="7" borderId="13" xfId="0" applyNumberFormat="1" applyFont="1" applyFill="1" applyBorder="1" applyAlignment="1" applyProtection="1">
      <alignment vertical="center"/>
    </xf>
    <xf numFmtId="0" fontId="0" fillId="7" borderId="7" xfId="0" applyFill="1" applyBorder="1" applyAlignment="1">
      <alignment vertical="center"/>
    </xf>
    <xf numFmtId="0" fontId="4" fillId="7" borderId="9" xfId="0" applyNumberFormat="1" applyFont="1" applyFill="1" applyBorder="1" applyAlignment="1" applyProtection="1">
      <alignment vertical="center"/>
    </xf>
    <xf numFmtId="0" fontId="3" fillId="7" borderId="3" xfId="0" applyFont="1" applyFill="1" applyBorder="1" applyAlignment="1" applyProtection="1">
      <alignment vertical="center"/>
    </xf>
    <xf numFmtId="0" fontId="3" fillId="7" borderId="4" xfId="0" applyFont="1" applyFill="1" applyBorder="1" applyAlignment="1" applyProtection="1">
      <alignment vertical="center"/>
    </xf>
    <xf numFmtId="166" fontId="4" fillId="6" borderId="2" xfId="0" applyNumberFormat="1" applyFont="1" applyFill="1" applyBorder="1" applyAlignment="1" applyProtection="1">
      <alignment horizontal="center" vertical="center"/>
    </xf>
    <xf numFmtId="0" fontId="18" fillId="5" borderId="0" xfId="0" applyNumberFormat="1" applyFont="1" applyFill="1" applyBorder="1" applyAlignment="1" applyProtection="1">
      <alignment horizontal="center" vertical="center"/>
    </xf>
    <xf numFmtId="0" fontId="19" fillId="5" borderId="0" xfId="0" applyNumberFormat="1" applyFont="1" applyFill="1" applyBorder="1" applyAlignment="1" applyProtection="1">
      <alignment horizontal="left" vertical="center"/>
    </xf>
    <xf numFmtId="0" fontId="28" fillId="5" borderId="0" xfId="0" applyFont="1" applyFill="1" applyBorder="1" applyAlignment="1">
      <alignment horizontal="left" vertical="center"/>
    </xf>
    <xf numFmtId="0" fontId="29" fillId="5" borderId="0" xfId="0" applyFont="1" applyFill="1" applyBorder="1" applyAlignment="1">
      <alignment horizontal="center" vertical="center" textRotation="90"/>
    </xf>
    <xf numFmtId="0" fontId="19" fillId="5" borderId="0" xfId="0" applyFont="1" applyFill="1" applyBorder="1" applyAlignment="1">
      <alignment horizontal="center" vertical="center"/>
    </xf>
    <xf numFmtId="0" fontId="3" fillId="5" borderId="2" xfId="0" applyFont="1" applyFill="1" applyBorder="1" applyAlignment="1" applyProtection="1">
      <alignment vertical="center"/>
    </xf>
    <xf numFmtId="0" fontId="12" fillId="5" borderId="0" xfId="0" applyNumberFormat="1" applyFont="1" applyFill="1" applyBorder="1" applyAlignment="1" applyProtection="1">
      <alignment horizontal="center" vertical="center"/>
    </xf>
    <xf numFmtId="0" fontId="12" fillId="5" borderId="0" xfId="0" applyNumberFormat="1" applyFont="1" applyFill="1" applyBorder="1" applyAlignment="1" applyProtection="1">
      <alignment horizontal="right" vertical="center"/>
    </xf>
    <xf numFmtId="0" fontId="1" fillId="5" borderId="0" xfId="0" applyFont="1" applyFill="1"/>
    <xf numFmtId="0" fontId="4" fillId="7" borderId="3" xfId="0" applyNumberFormat="1" applyFont="1" applyFill="1" applyBorder="1" applyAlignment="1" applyProtection="1">
      <alignment horizontal="right" vertical="center"/>
    </xf>
    <xf numFmtId="0" fontId="3" fillId="7" borderId="1" xfId="0" applyNumberFormat="1" applyFont="1" applyFill="1" applyBorder="1" applyAlignment="1" applyProtection="1">
      <alignment horizontal="center" vertical="center"/>
    </xf>
    <xf numFmtId="49" fontId="22" fillId="6" borderId="11" xfId="0" applyNumberFormat="1" applyFont="1" applyFill="1" applyBorder="1" applyAlignment="1" applyProtection="1">
      <alignment vertical="center"/>
    </xf>
    <xf numFmtId="0" fontId="0" fillId="5" borderId="0" xfId="0" applyFill="1" applyAlignment="1">
      <alignment horizontal="left" indent="1"/>
    </xf>
    <xf numFmtId="0" fontId="3" fillId="5" borderId="0" xfId="0" applyFont="1" applyFill="1" applyBorder="1" applyAlignment="1" applyProtection="1">
      <alignment horizontal="left" indent="1"/>
    </xf>
    <xf numFmtId="0" fontId="2" fillId="5" borderId="0" xfId="0" applyNumberFormat="1" applyFont="1" applyFill="1" applyBorder="1" applyAlignment="1" applyProtection="1">
      <alignment horizontal="left" vertical="center"/>
    </xf>
    <xf numFmtId="0" fontId="2" fillId="5" borderId="0" xfId="0" applyFont="1" applyFill="1" applyBorder="1" applyProtection="1"/>
    <xf numFmtId="0" fontId="11" fillId="5" borderId="0" xfId="0" applyFont="1" applyFill="1" applyBorder="1" applyProtection="1"/>
    <xf numFmtId="0" fontId="4" fillId="7" borderId="14" xfId="0" applyNumberFormat="1" applyFont="1" applyFill="1" applyBorder="1" applyAlignment="1" applyProtection="1">
      <alignment horizontal="left" vertical="center" indent="1"/>
    </xf>
    <xf numFmtId="0" fontId="4" fillId="7" borderId="15" xfId="0" applyNumberFormat="1" applyFont="1" applyFill="1" applyBorder="1" applyAlignment="1" applyProtection="1">
      <alignment horizontal="left" vertical="center"/>
    </xf>
    <xf numFmtId="0" fontId="4" fillId="7" borderId="3" xfId="0" applyFont="1" applyFill="1" applyBorder="1" applyAlignment="1" applyProtection="1">
      <alignment horizontal="left" vertical="center" indent="1"/>
    </xf>
    <xf numFmtId="0" fontId="7" fillId="7" borderId="4" xfId="0" applyFont="1" applyFill="1" applyBorder="1" applyAlignment="1" applyProtection="1">
      <alignment vertical="center"/>
    </xf>
    <xf numFmtId="0" fontId="3" fillId="6" borderId="14" xfId="0" applyFont="1" applyFill="1" applyBorder="1" applyAlignment="1" applyProtection="1">
      <alignment vertical="center"/>
    </xf>
    <xf numFmtId="0" fontId="3" fillId="6" borderId="12" xfId="0" applyFont="1" applyFill="1" applyBorder="1" applyAlignment="1" applyProtection="1">
      <alignment vertical="center"/>
    </xf>
    <xf numFmtId="0" fontId="3" fillId="6" borderId="15" xfId="0" applyFont="1" applyFill="1" applyBorder="1" applyAlignment="1" applyProtection="1">
      <alignment vertical="center"/>
    </xf>
    <xf numFmtId="0" fontId="7" fillId="6" borderId="5" xfId="0" applyFont="1" applyFill="1" applyBorder="1" applyAlignment="1" applyProtection="1">
      <alignment horizontal="left" vertical="center"/>
    </xf>
    <xf numFmtId="165" fontId="7" fillId="6" borderId="0" xfId="0" applyNumberFormat="1" applyFont="1" applyFill="1" applyBorder="1" applyAlignment="1" applyProtection="1">
      <alignment horizontal="left" vertical="center"/>
    </xf>
    <xf numFmtId="0" fontId="7" fillId="6" borderId="0" xfId="0" applyFont="1" applyFill="1" applyBorder="1" applyAlignment="1" applyProtection="1">
      <alignment vertical="center"/>
    </xf>
    <xf numFmtId="0" fontId="7" fillId="6" borderId="2" xfId="0" applyFont="1" applyFill="1" applyBorder="1" applyAlignment="1" applyProtection="1">
      <alignment vertical="center"/>
    </xf>
    <xf numFmtId="0" fontId="3" fillId="6" borderId="5" xfId="0" applyNumberFormat="1" applyFont="1" applyFill="1" applyBorder="1" applyAlignment="1" applyProtection="1">
      <alignment horizontal="left" vertical="center"/>
    </xf>
    <xf numFmtId="0" fontId="3" fillId="6" borderId="0" xfId="0" applyNumberFormat="1" applyFont="1" applyFill="1" applyBorder="1" applyAlignment="1" applyProtection="1">
      <alignment horizontal="left" vertical="center"/>
    </xf>
    <xf numFmtId="49" fontId="22" fillId="6" borderId="0" xfId="0" applyNumberFormat="1" applyFont="1" applyFill="1" applyBorder="1" applyAlignment="1" applyProtection="1">
      <alignment horizontal="left" vertical="center"/>
    </xf>
    <xf numFmtId="49" fontId="3" fillId="6" borderId="2" xfId="0" applyNumberFormat="1" applyFont="1" applyFill="1" applyBorder="1" applyAlignment="1" applyProtection="1">
      <alignment horizontal="left" vertical="center"/>
    </xf>
    <xf numFmtId="0" fontId="17" fillId="6" borderId="0" xfId="0" applyNumberFormat="1" applyFont="1" applyFill="1" applyBorder="1" applyAlignment="1" applyProtection="1">
      <alignment horizontal="left" vertical="center"/>
    </xf>
    <xf numFmtId="0" fontId="33" fillId="6" borderId="0" xfId="0" applyNumberFormat="1" applyFont="1" applyFill="1" applyBorder="1" applyAlignment="1" applyProtection="1">
      <alignment horizontal="left" vertical="center"/>
    </xf>
    <xf numFmtId="165" fontId="34" fillId="6" borderId="0" xfId="0" applyNumberFormat="1" applyFont="1" applyFill="1" applyBorder="1" applyAlignment="1" applyProtection="1">
      <alignment horizontal="left" vertical="center"/>
    </xf>
    <xf numFmtId="49" fontId="3" fillId="6" borderId="0" xfId="0" applyNumberFormat="1" applyFont="1" applyFill="1" applyBorder="1" applyAlignment="1" applyProtection="1">
      <alignment horizontal="left" vertical="center"/>
    </xf>
    <xf numFmtId="0" fontId="0" fillId="6" borderId="0" xfId="0" applyFill="1" applyAlignment="1">
      <alignment vertical="center"/>
    </xf>
    <xf numFmtId="0" fontId="3" fillId="6" borderId="2" xfId="0" applyFont="1" applyFill="1" applyBorder="1" applyAlignment="1" applyProtection="1">
      <alignment vertical="center"/>
    </xf>
    <xf numFmtId="0" fontId="3" fillId="6" borderId="13" xfId="0" applyNumberFormat="1" applyFont="1" applyFill="1" applyBorder="1" applyAlignment="1" applyProtection="1">
      <alignment horizontal="left" vertical="center"/>
    </xf>
    <xf numFmtId="0" fontId="3" fillId="6" borderId="6" xfId="0" applyNumberFormat="1" applyFont="1" applyFill="1" applyBorder="1" applyAlignment="1" applyProtection="1">
      <alignment horizontal="left" vertical="center"/>
    </xf>
    <xf numFmtId="0" fontId="7" fillId="6" borderId="6" xfId="0" applyFont="1" applyFill="1" applyBorder="1" applyAlignment="1" applyProtection="1">
      <alignment horizontal="left" vertical="center"/>
    </xf>
    <xf numFmtId="0" fontId="3" fillId="6" borderId="7" xfId="0" applyNumberFormat="1" applyFont="1" applyFill="1" applyBorder="1" applyAlignment="1" applyProtection="1">
      <alignment horizontal="left" vertical="center"/>
    </xf>
    <xf numFmtId="0" fontId="3" fillId="6" borderId="14" xfId="0" applyNumberFormat="1" applyFont="1" applyFill="1" applyBorder="1" applyAlignment="1" applyProtection="1">
      <alignment horizontal="left" vertical="center"/>
    </xf>
    <xf numFmtId="0" fontId="3" fillId="6" borderId="12" xfId="0" applyNumberFormat="1" applyFont="1" applyFill="1" applyBorder="1" applyAlignment="1" applyProtection="1">
      <alignment horizontal="left" vertical="center"/>
    </xf>
    <xf numFmtId="49" fontId="22" fillId="6" borderId="12" xfId="0" applyNumberFormat="1" applyFont="1" applyFill="1" applyBorder="1" applyAlignment="1" applyProtection="1">
      <alignment horizontal="left" vertical="center"/>
    </xf>
    <xf numFmtId="0" fontId="3" fillId="6" borderId="2" xfId="0" applyNumberFormat="1" applyFont="1" applyFill="1" applyBorder="1" applyAlignment="1" applyProtection="1">
      <alignment horizontal="left" vertical="center"/>
    </xf>
    <xf numFmtId="0" fontId="3" fillId="6" borderId="0" xfId="0" applyFont="1" applyFill="1" applyBorder="1" applyAlignment="1" applyProtection="1">
      <alignment vertical="center"/>
    </xf>
    <xf numFmtId="0" fontId="3" fillId="6" borderId="0" xfId="0" applyNumberFormat="1" applyFont="1" applyFill="1" applyBorder="1" applyAlignment="1" applyProtection="1">
      <alignment vertical="center"/>
    </xf>
    <xf numFmtId="0" fontId="0" fillId="6" borderId="0" xfId="0" applyFill="1" applyBorder="1" applyAlignment="1">
      <alignment vertical="center"/>
    </xf>
    <xf numFmtId="0" fontId="7" fillId="6" borderId="0" xfId="0" applyNumberFormat="1" applyFont="1" applyFill="1" applyBorder="1" applyAlignment="1" applyProtection="1">
      <alignment horizontal="left" vertical="center"/>
    </xf>
    <xf numFmtId="49" fontId="22" fillId="6" borderId="11" xfId="0" applyNumberFormat="1" applyFont="1" applyFill="1" applyBorder="1" applyAlignment="1" applyProtection="1">
      <alignment horizontal="center" vertical="center"/>
    </xf>
    <xf numFmtId="49" fontId="22" fillId="6" borderId="10" xfId="0" applyNumberFormat="1" applyFont="1" applyFill="1" applyBorder="1" applyAlignment="1" applyProtection="1">
      <alignment horizontal="center" vertical="center"/>
    </xf>
    <xf numFmtId="0" fontId="21" fillId="7" borderId="9" xfId="0" applyNumberFormat="1" applyFont="1" applyFill="1" applyBorder="1" applyAlignment="1" applyProtection="1">
      <alignment horizontal="center" vertical="center" textRotation="90"/>
    </xf>
    <xf numFmtId="0" fontId="21" fillId="7" borderId="4" xfId="0" applyNumberFormat="1" applyFont="1" applyFill="1" applyBorder="1" applyAlignment="1" applyProtection="1">
      <alignment horizontal="center" vertical="center" textRotation="90"/>
    </xf>
    <xf numFmtId="0" fontId="42" fillId="5" borderId="0" xfId="0" applyFont="1" applyFill="1"/>
    <xf numFmtId="168" fontId="0" fillId="6" borderId="14" xfId="3" applyNumberFormat="1" applyFont="1" applyFill="1" applyBorder="1"/>
    <xf numFmtId="168" fontId="0" fillId="6" borderId="12" xfId="3" applyNumberFormat="1" applyFont="1" applyFill="1" applyBorder="1"/>
    <xf numFmtId="168" fontId="0" fillId="6" borderId="15" xfId="3" applyNumberFormat="1" applyFont="1" applyFill="1" applyBorder="1"/>
    <xf numFmtId="168" fontId="0" fillId="6" borderId="5" xfId="3" applyNumberFormat="1" applyFont="1" applyFill="1" applyBorder="1"/>
    <xf numFmtId="168" fontId="0" fillId="6" borderId="0" xfId="3" applyNumberFormat="1" applyFont="1" applyFill="1" applyBorder="1"/>
    <xf numFmtId="168" fontId="0" fillId="6" borderId="2" xfId="3" applyNumberFormat="1" applyFont="1" applyFill="1" applyBorder="1"/>
    <xf numFmtId="168" fontId="0" fillId="6" borderId="13" xfId="3" applyNumberFormat="1" applyFont="1" applyFill="1" applyBorder="1"/>
    <xf numFmtId="168" fontId="0" fillId="6" borderId="6" xfId="3" applyNumberFormat="1" applyFont="1" applyFill="1" applyBorder="1"/>
    <xf numFmtId="168" fontId="0" fillId="6" borderId="7" xfId="3" applyNumberFormat="1" applyFont="1" applyFill="1" applyBorder="1"/>
    <xf numFmtId="168" fontId="3" fillId="6" borderId="11" xfId="3" applyNumberFormat="1" applyFont="1" applyFill="1" applyBorder="1" applyAlignment="1" applyProtection="1">
      <alignment horizontal="center" vertical="center"/>
    </xf>
    <xf numFmtId="168" fontId="3" fillId="6" borderId="10" xfId="3" applyNumberFormat="1" applyFont="1" applyFill="1" applyBorder="1" applyAlignment="1" applyProtection="1">
      <alignment horizontal="center" vertical="center"/>
    </xf>
    <xf numFmtId="168" fontId="0" fillId="6" borderId="14" xfId="3" applyNumberFormat="1" applyFont="1" applyFill="1" applyBorder="1" applyAlignment="1">
      <alignment horizontal="right"/>
    </xf>
    <xf numFmtId="168" fontId="0" fillId="6" borderId="12" xfId="3" applyNumberFormat="1" applyFont="1" applyFill="1" applyBorder="1" applyAlignment="1">
      <alignment horizontal="right"/>
    </xf>
    <xf numFmtId="168" fontId="0" fillId="6" borderId="15" xfId="3" applyNumberFormat="1" applyFont="1" applyFill="1" applyBorder="1" applyAlignment="1">
      <alignment horizontal="right"/>
    </xf>
    <xf numFmtId="168" fontId="0" fillId="6" borderId="5" xfId="3" applyNumberFormat="1" applyFont="1" applyFill="1" applyBorder="1" applyAlignment="1">
      <alignment horizontal="right"/>
    </xf>
    <xf numFmtId="168" fontId="0" fillId="6" borderId="0" xfId="3" applyNumberFormat="1" applyFont="1" applyFill="1" applyBorder="1" applyAlignment="1">
      <alignment horizontal="right"/>
    </xf>
    <xf numFmtId="168" fontId="0" fillId="6" borderId="2" xfId="3" applyNumberFormat="1" applyFont="1" applyFill="1" applyBorder="1" applyAlignment="1">
      <alignment horizontal="right"/>
    </xf>
    <xf numFmtId="168" fontId="0" fillId="6" borderId="13" xfId="3" applyNumberFormat="1" applyFont="1" applyFill="1" applyBorder="1" applyAlignment="1">
      <alignment horizontal="right"/>
    </xf>
    <xf numFmtId="168" fontId="0" fillId="6" borderId="6" xfId="3" applyNumberFormat="1" applyFont="1" applyFill="1" applyBorder="1" applyAlignment="1">
      <alignment horizontal="right"/>
    </xf>
    <xf numFmtId="168" fontId="0" fillId="6" borderId="7" xfId="3" applyNumberFormat="1" applyFont="1" applyFill="1" applyBorder="1" applyAlignment="1">
      <alignment horizontal="right"/>
    </xf>
    <xf numFmtId="0" fontId="0" fillId="5" borderId="0" xfId="0" applyFill="1" applyAlignment="1"/>
    <xf numFmtId="49" fontId="22" fillId="6" borderId="6" xfId="0" applyNumberFormat="1" applyFont="1" applyFill="1" applyBorder="1" applyAlignment="1" applyProtection="1">
      <alignment horizontal="left" vertical="center"/>
    </xf>
    <xf numFmtId="166" fontId="0" fillId="5" borderId="0" xfId="0" applyNumberFormat="1" applyFill="1" applyAlignment="1" applyProtection="1">
      <alignment vertical="center"/>
    </xf>
    <xf numFmtId="49" fontId="4" fillId="7" borderId="9" xfId="0" applyNumberFormat="1" applyFont="1" applyFill="1" applyBorder="1" applyAlignment="1" applyProtection="1">
      <alignment horizontal="center" vertical="center"/>
    </xf>
    <xf numFmtId="49" fontId="4" fillId="7" borderId="4" xfId="0" applyNumberFormat="1" applyFont="1" applyFill="1" applyBorder="1" applyAlignment="1" applyProtection="1">
      <alignment horizontal="center" vertical="center"/>
    </xf>
    <xf numFmtId="0" fontId="3" fillId="5" borderId="0" xfId="0" applyFont="1" applyFill="1" applyBorder="1" applyAlignment="1">
      <alignment vertical="center"/>
    </xf>
    <xf numFmtId="0" fontId="0" fillId="5" borderId="0" xfId="0" applyFill="1" applyAlignment="1"/>
    <xf numFmtId="0" fontId="3" fillId="4" borderId="0" xfId="0" applyNumberFormat="1" applyFont="1" applyFill="1" applyBorder="1" applyAlignment="1" applyProtection="1">
      <alignment horizontal="left" vertical="center"/>
    </xf>
    <xf numFmtId="0" fontId="3" fillId="4" borderId="2" xfId="0" applyNumberFormat="1" applyFont="1" applyFill="1" applyBorder="1" applyAlignment="1" applyProtection="1">
      <alignment horizontal="left" vertical="center"/>
    </xf>
    <xf numFmtId="0" fontId="4" fillId="3" borderId="14" xfId="0" applyFont="1" applyFill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17" fillId="4" borderId="0" xfId="0" applyFont="1" applyFill="1" applyAlignment="1">
      <alignment wrapText="1"/>
    </xf>
    <xf numFmtId="0" fontId="17" fillId="4" borderId="16" xfId="0" applyFont="1" applyFill="1" applyBorder="1" applyAlignment="1">
      <alignment wrapText="1"/>
    </xf>
    <xf numFmtId="0" fontId="4" fillId="7" borderId="14" xfId="0" applyNumberFormat="1" applyFont="1" applyFill="1" applyBorder="1" applyAlignment="1" applyProtection="1">
      <alignment horizontal="center" textRotation="90"/>
    </xf>
    <xf numFmtId="0" fontId="4" fillId="7" borderId="15" xfId="0" applyNumberFormat="1" applyFont="1" applyFill="1" applyBorder="1" applyAlignment="1" applyProtection="1">
      <alignment horizontal="center" textRotation="90"/>
    </xf>
    <xf numFmtId="0" fontId="4" fillId="7" borderId="5" xfId="0" applyNumberFormat="1" applyFont="1" applyFill="1" applyBorder="1" applyAlignment="1" applyProtection="1">
      <alignment horizontal="center" textRotation="90"/>
    </xf>
    <xf numFmtId="0" fontId="4" fillId="7" borderId="2" xfId="0" applyNumberFormat="1" applyFont="1" applyFill="1" applyBorder="1" applyAlignment="1" applyProtection="1">
      <alignment horizontal="center" textRotation="90"/>
    </xf>
    <xf numFmtId="0" fontId="4" fillId="7" borderId="13" xfId="0" applyNumberFormat="1" applyFont="1" applyFill="1" applyBorder="1" applyAlignment="1" applyProtection="1">
      <alignment horizontal="center" textRotation="90"/>
    </xf>
    <xf numFmtId="0" fontId="4" fillId="7" borderId="7" xfId="0" applyNumberFormat="1" applyFont="1" applyFill="1" applyBorder="1" applyAlignment="1" applyProtection="1">
      <alignment horizontal="center" textRotation="90"/>
    </xf>
    <xf numFmtId="0" fontId="4" fillId="5" borderId="0" xfId="0" applyFont="1" applyFill="1" applyAlignment="1" applyProtection="1">
      <alignment horizontal="center"/>
    </xf>
    <xf numFmtId="0" fontId="20" fillId="5" borderId="0" xfId="0" applyFont="1" applyFill="1" applyAlignment="1">
      <alignment horizontal="center"/>
    </xf>
    <xf numFmtId="0" fontId="4" fillId="5" borderId="9" xfId="0" applyFont="1" applyFill="1" applyBorder="1" applyAlignment="1" applyProtection="1">
      <alignment horizontal="center"/>
    </xf>
    <xf numFmtId="0" fontId="0" fillId="5" borderId="3" xfId="0" applyFill="1" applyBorder="1" applyAlignment="1"/>
    <xf numFmtId="0" fontId="0" fillId="5" borderId="4" xfId="0" applyFill="1" applyBorder="1" applyAlignment="1"/>
    <xf numFmtId="0" fontId="4" fillId="5" borderId="0" xfId="0" applyNumberFormat="1" applyFont="1" applyFill="1" applyBorder="1" applyAlignment="1" applyProtection="1">
      <alignment horizontal="center" textRotation="90"/>
    </xf>
    <xf numFmtId="0" fontId="3" fillId="5" borderId="0" xfId="0" applyFont="1" applyFill="1" applyBorder="1" applyAlignment="1">
      <alignment horizontal="center" textRotation="90"/>
    </xf>
    <xf numFmtId="0" fontId="3" fillId="5" borderId="0" xfId="0" applyFont="1" applyFill="1" applyBorder="1" applyAlignment="1" applyProtection="1">
      <alignment horizontal="center" textRotation="90"/>
    </xf>
    <xf numFmtId="0" fontId="4" fillId="7" borderId="9" xfId="0" applyFont="1" applyFill="1" applyBorder="1" applyAlignment="1" applyProtection="1">
      <alignment horizontal="center"/>
    </xf>
    <xf numFmtId="0" fontId="0" fillId="7" borderId="3" xfId="0" applyFill="1" applyBorder="1" applyAlignment="1"/>
    <xf numFmtId="0" fontId="0" fillId="7" borderId="4" xfId="0" applyFill="1" applyBorder="1" applyAlignment="1"/>
    <xf numFmtId="0" fontId="19" fillId="5" borderId="0" xfId="0" applyNumberFormat="1" applyFont="1" applyFill="1" applyBorder="1" applyAlignment="1" applyProtection="1">
      <alignment horizontal="center" textRotation="90"/>
    </xf>
    <xf numFmtId="0" fontId="18" fillId="5" borderId="0" xfId="0" applyFont="1" applyFill="1" applyBorder="1" applyAlignment="1">
      <alignment horizontal="center" textRotation="90"/>
    </xf>
    <xf numFmtId="0" fontId="18" fillId="5" borderId="0" xfId="0" applyFont="1" applyFill="1" applyBorder="1" applyAlignment="1" applyProtection="1">
      <alignment horizontal="center" textRotation="90"/>
    </xf>
    <xf numFmtId="0" fontId="3" fillId="5" borderId="0" xfId="0" applyFont="1" applyFill="1" applyAlignment="1">
      <alignment vertical="center"/>
    </xf>
    <xf numFmtId="0" fontId="21" fillId="5" borderId="13" xfId="0" applyNumberFormat="1" applyFont="1" applyFill="1" applyBorder="1" applyAlignment="1" applyProtection="1">
      <alignment horizontal="center" vertical="center"/>
    </xf>
    <xf numFmtId="0" fontId="0" fillId="5" borderId="7" xfId="0" applyFill="1" applyBorder="1" applyAlignment="1" applyProtection="1">
      <alignment horizontal="center" vertical="center"/>
    </xf>
    <xf numFmtId="0" fontId="21" fillId="7" borderId="8" xfId="0" applyNumberFormat="1" applyFont="1" applyFill="1" applyBorder="1" applyAlignment="1" applyProtection="1">
      <alignment horizontal="center" vertical="center" wrapText="1"/>
    </xf>
    <xf numFmtId="0" fontId="0" fillId="7" borderId="11" xfId="0" applyFill="1" applyBorder="1" applyAlignment="1" applyProtection="1">
      <alignment horizontal="center" vertical="center" wrapText="1"/>
    </xf>
    <xf numFmtId="0" fontId="7" fillId="5" borderId="0" xfId="0" applyFont="1" applyFill="1" applyAlignment="1">
      <alignment vertical="center"/>
    </xf>
    <xf numFmtId="0" fontId="21" fillId="5" borderId="14" xfId="0" applyNumberFormat="1" applyFont="1" applyFill="1" applyBorder="1" applyAlignment="1" applyProtection="1">
      <alignment horizontal="center" vertical="center"/>
    </xf>
    <xf numFmtId="0" fontId="0" fillId="5" borderId="15" xfId="0" applyFill="1" applyBorder="1" applyAlignment="1" applyProtection="1">
      <alignment horizontal="center" vertical="center"/>
    </xf>
    <xf numFmtId="0" fontId="25" fillId="5" borderId="0" xfId="0" applyFont="1" applyFill="1" applyAlignment="1">
      <alignment vertical="center"/>
    </xf>
    <xf numFmtId="0" fontId="0" fillId="5" borderId="0" xfId="0" applyFill="1" applyAlignment="1">
      <alignment vertical="center"/>
    </xf>
    <xf numFmtId="0" fontId="4" fillId="5" borderId="9" xfId="0" applyFont="1" applyFill="1" applyBorder="1" applyAlignment="1" applyProtection="1">
      <alignment horizontal="center" vertical="center"/>
    </xf>
    <xf numFmtId="0" fontId="4" fillId="5" borderId="3" xfId="0" applyFont="1" applyFill="1" applyBorder="1" applyAlignment="1" applyProtection="1">
      <alignment horizontal="center" vertical="center"/>
    </xf>
    <xf numFmtId="0" fontId="4" fillId="5" borderId="4" xfId="0" applyFont="1" applyFill="1" applyBorder="1" applyAlignment="1" applyProtection="1">
      <alignment horizontal="center" vertical="center"/>
    </xf>
    <xf numFmtId="0" fontId="0" fillId="5" borderId="12" xfId="0" applyFill="1" applyBorder="1" applyAlignment="1">
      <alignment vertical="center"/>
    </xf>
    <xf numFmtId="0" fontId="0" fillId="5" borderId="15" xfId="0" applyFill="1" applyBorder="1" applyAlignment="1">
      <alignment vertical="center"/>
    </xf>
    <xf numFmtId="0" fontId="0" fillId="5" borderId="6" xfId="0" applyFill="1" applyBorder="1" applyAlignment="1">
      <alignment vertical="center"/>
    </xf>
    <xf numFmtId="0" fontId="0" fillId="5" borderId="7" xfId="0" applyFill="1" applyBorder="1" applyAlignment="1">
      <alignment vertical="center"/>
    </xf>
    <xf numFmtId="0" fontId="0" fillId="5" borderId="3" xfId="0" applyFill="1" applyBorder="1" applyAlignment="1">
      <alignment vertical="center"/>
    </xf>
    <xf numFmtId="0" fontId="0" fillId="5" borderId="4" xfId="0" applyFill="1" applyBorder="1" applyAlignment="1">
      <alignment vertical="center"/>
    </xf>
    <xf numFmtId="0" fontId="29" fillId="5" borderId="0" xfId="0" applyFont="1" applyFill="1" applyAlignment="1">
      <alignment vertical="center"/>
    </xf>
    <xf numFmtId="0" fontId="35" fillId="5" borderId="0" xfId="0" applyFont="1" applyFill="1" applyAlignment="1">
      <alignment vertical="center"/>
    </xf>
    <xf numFmtId="0" fontId="3" fillId="5" borderId="0" xfId="0" applyNumberFormat="1" applyFont="1" applyFill="1" applyBorder="1" applyAlignment="1" applyProtection="1">
      <alignment horizontal="left" vertical="center"/>
    </xf>
    <xf numFmtId="0" fontId="4" fillId="5" borderId="0" xfId="0" applyNumberFormat="1" applyFont="1" applyFill="1" applyBorder="1" applyAlignment="1" applyProtection="1">
      <alignment horizontal="left" vertical="center"/>
    </xf>
    <xf numFmtId="0" fontId="4" fillId="3" borderId="9" xfId="0" applyNumberFormat="1" applyFont="1" applyFill="1" applyBorder="1" applyAlignment="1" applyProtection="1">
      <alignment horizontal="center" vertical="center"/>
    </xf>
    <xf numFmtId="0" fontId="3" fillId="3" borderId="3" xfId="0" applyFont="1" applyFill="1" applyBorder="1" applyAlignment="1" applyProtection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3" borderId="9" xfId="0" applyFont="1" applyFill="1" applyBorder="1" applyAlignment="1" applyProtection="1">
      <alignment horizontal="center" vertical="center"/>
    </xf>
    <xf numFmtId="0" fontId="4" fillId="3" borderId="3" xfId="0" applyFont="1" applyFill="1" applyBorder="1" applyAlignment="1" applyProtection="1">
      <alignment horizontal="center" vertical="center"/>
    </xf>
    <xf numFmtId="0" fontId="4" fillId="7" borderId="9" xfId="0" applyNumberFormat="1" applyFont="1" applyFill="1" applyBorder="1" applyAlignment="1" applyProtection="1">
      <alignment horizontal="left" vertical="center"/>
    </xf>
    <xf numFmtId="0" fontId="0" fillId="7" borderId="3" xfId="0" applyFill="1" applyBorder="1" applyAlignment="1">
      <alignment horizontal="left" vertical="center"/>
    </xf>
    <xf numFmtId="0" fontId="0" fillId="7" borderId="4" xfId="0" applyFill="1" applyBorder="1" applyAlignment="1">
      <alignment horizontal="left" vertical="center"/>
    </xf>
    <xf numFmtId="0" fontId="21" fillId="7" borderId="14" xfId="0" applyNumberFormat="1" applyFont="1" applyFill="1" applyBorder="1" applyAlignment="1" applyProtection="1">
      <alignment horizontal="center" vertical="center"/>
    </xf>
    <xf numFmtId="0" fontId="0" fillId="7" borderId="15" xfId="0" applyFill="1" applyBorder="1" applyAlignment="1">
      <alignment horizontal="center" vertical="center"/>
    </xf>
    <xf numFmtId="0" fontId="21" fillId="7" borderId="9" xfId="0" applyNumberFormat="1" applyFont="1" applyFill="1" applyBorder="1" applyAlignment="1" applyProtection="1">
      <alignment horizontal="center" vertical="center"/>
    </xf>
    <xf numFmtId="0" fontId="0" fillId="7" borderId="4" xfId="0" applyFill="1" applyBorder="1" applyAlignment="1">
      <alignment horizontal="center" vertical="center"/>
    </xf>
    <xf numFmtId="0" fontId="42" fillId="7" borderId="9" xfId="0" applyFont="1" applyFill="1" applyBorder="1" applyAlignment="1">
      <alignment horizontal="center"/>
    </xf>
    <xf numFmtId="0" fontId="42" fillId="7" borderId="3" xfId="0" applyFont="1" applyFill="1" applyBorder="1" applyAlignment="1">
      <alignment horizontal="center"/>
    </xf>
    <xf numFmtId="0" fontId="42" fillId="7" borderId="4" xfId="0" applyFont="1" applyFill="1" applyBorder="1" applyAlignment="1">
      <alignment horizontal="center"/>
    </xf>
  </cellXfs>
  <cellStyles count="4">
    <cellStyle name="Comma" xfId="3" builtinId="3"/>
    <cellStyle name="Hyperlink" xfId="1" builtinId="8"/>
    <cellStyle name="Hyperlink 2" xfId="2" xr:uid="{00000000-0005-0000-0000-000002000000}"/>
    <cellStyle name="Normal" xfId="0" builtinId="0"/>
  </cellStyles>
  <dxfs count="113"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lor rgb="FFFF000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colors>
    <mruColors>
      <color rgb="FFF5B1E8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nepotists.co.uk/scorecards/2018/3%20-%20Kew%202018%20(Both%20Inning).pdf" TargetMode="External"/><Relationship Id="rId13" Type="http://schemas.openxmlformats.org/officeDocument/2006/relationships/hyperlink" Target="http://nepotists.co.uk/scorecards/2018/8%20-%20Royal%20Household%202018%20(Both%20Inning).pdf" TargetMode="External"/><Relationship Id="rId18" Type="http://schemas.openxmlformats.org/officeDocument/2006/relationships/hyperlink" Target="http://nepotists.co.uk/scorecards/2018/3%20-%20Kew%202018%20(Both%20Inning).pdf" TargetMode="External"/><Relationship Id="rId3" Type="http://schemas.openxmlformats.org/officeDocument/2006/relationships/hyperlink" Target="http://nepotists.co.uk/scorecards/2018/8%20-%20Royal%20Household%202018%20(Both%20Inning).pdf" TargetMode="External"/><Relationship Id="rId21" Type="http://schemas.openxmlformats.org/officeDocument/2006/relationships/hyperlink" Target="http://nepotists.co.uk/scorecards/2018/14%20-%20Shepherd's%20Bush%202018%20(Both%20Inning).pdf" TargetMode="External"/><Relationship Id="rId7" Type="http://schemas.openxmlformats.org/officeDocument/2006/relationships/hyperlink" Target="http://nepotists.co.uk/scorecards/2018/4%20-%20Putney%202018%20(Both%20Inning).pdf" TargetMode="External"/><Relationship Id="rId12" Type="http://schemas.openxmlformats.org/officeDocument/2006/relationships/hyperlink" Target="http://nepotists.co.uk/scorecards/2018/9%20-%20Crouch%20End.pdf" TargetMode="External"/><Relationship Id="rId17" Type="http://schemas.openxmlformats.org/officeDocument/2006/relationships/hyperlink" Target="http://nepotists.co.uk/scorecards/2018/4%20-%20Putney%202018%20(Both%20Inning).pdf" TargetMode="External"/><Relationship Id="rId2" Type="http://schemas.openxmlformats.org/officeDocument/2006/relationships/hyperlink" Target="http://nepotists.co.uk/scorecards/2018/9%20-%20Crouch%20End.pdf" TargetMode="External"/><Relationship Id="rId16" Type="http://schemas.openxmlformats.org/officeDocument/2006/relationships/hyperlink" Target="http://nepotists.co.uk/scorecards/2018/5%20-%20Chingford%202018%20(Both%20Inning).pdf" TargetMode="External"/><Relationship Id="rId20" Type="http://schemas.openxmlformats.org/officeDocument/2006/relationships/hyperlink" Target="http://nepotists.co.uk/scorecards/2018/1%20-%20Ickenham%202018%20(Both%20Inning).pdf" TargetMode="External"/><Relationship Id="rId1" Type="http://schemas.openxmlformats.org/officeDocument/2006/relationships/hyperlink" Target="http://nepotists.co.uk/scorecards/2018/13%20-%20Teddington%202018%20(Both%20Inning).pdf" TargetMode="External"/><Relationship Id="rId6" Type="http://schemas.openxmlformats.org/officeDocument/2006/relationships/hyperlink" Target="http://nepotists.co.uk/scorecards/2018/5%20-%20Chingford%202018%20(Both%20Inning).pdf" TargetMode="External"/><Relationship Id="rId11" Type="http://schemas.openxmlformats.org/officeDocument/2006/relationships/hyperlink" Target="http://nepotists.co.uk/scorecards/2018/13%20-%20Teddington%202018%20(Both%20Inning).pdf" TargetMode="External"/><Relationship Id="rId24" Type="http://schemas.openxmlformats.org/officeDocument/2006/relationships/printerSettings" Target="../printerSettings/printerSettings1.bin"/><Relationship Id="rId5" Type="http://schemas.openxmlformats.org/officeDocument/2006/relationships/hyperlink" Target="http://nepotists.co.uk/scorecards/2018/6%20-%20North%20Enfield%202018%20(Both%20Inning).pdf" TargetMode="External"/><Relationship Id="rId15" Type="http://schemas.openxmlformats.org/officeDocument/2006/relationships/hyperlink" Target="http://nepotists.co.uk/scorecards/2018/6%20-%20North%20Enfield%202018%20(Both%20Inning).pdf" TargetMode="External"/><Relationship Id="rId23" Type="http://schemas.openxmlformats.org/officeDocument/2006/relationships/hyperlink" Target="http://nepotists.co.uk/scorecards/2018/15%20-%20Little%20Missenden%202018%20(Both%20Inning).pdf" TargetMode="External"/><Relationship Id="rId10" Type="http://schemas.openxmlformats.org/officeDocument/2006/relationships/hyperlink" Target="http://nepotists.co.uk/scorecards/2018/1%20-%20Ickenham%202018%20(Both%20Inning).pdf" TargetMode="External"/><Relationship Id="rId19" Type="http://schemas.openxmlformats.org/officeDocument/2006/relationships/hyperlink" Target="http://nepotists.co.uk/scorecards/2018/2%20-%20Northwood%202018%20(Both%20Inning).pdf" TargetMode="External"/><Relationship Id="rId4" Type="http://schemas.openxmlformats.org/officeDocument/2006/relationships/hyperlink" Target="http://nepotists.co.uk/scorecards/2018/7%20-%20Shepperton%202018%20(Both%20Inning).pdf" TargetMode="External"/><Relationship Id="rId9" Type="http://schemas.openxmlformats.org/officeDocument/2006/relationships/hyperlink" Target="http://nepotists.co.uk/scorecards/2018/2%20-%20Northwood%202018%20(Both%20Inning).pdf" TargetMode="External"/><Relationship Id="rId14" Type="http://schemas.openxmlformats.org/officeDocument/2006/relationships/hyperlink" Target="http://nepotists.co.uk/scorecards/2018/7%20-%20Shepperton%202018%20(Both%20Inning).pdf" TargetMode="External"/><Relationship Id="rId22" Type="http://schemas.openxmlformats.org/officeDocument/2006/relationships/hyperlink" Target="http://nepotists.co.uk/2018_match_reports.asp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/>
  </sheetPr>
  <dimension ref="A1:S44"/>
  <sheetViews>
    <sheetView tabSelected="1" zoomScaleNormal="100" workbookViewId="0">
      <selection activeCell="A93" sqref="A93"/>
    </sheetView>
  </sheetViews>
  <sheetFormatPr defaultColWidth="9.140625" defaultRowHeight="12.75" x14ac:dyDescent="0.2"/>
  <cols>
    <col min="1" max="1" width="2.7109375" style="125" bestFit="1" customWidth="1"/>
    <col min="2" max="2" width="13.85546875" style="125" customWidth="1"/>
    <col min="3" max="3" width="12" style="125" customWidth="1"/>
    <col min="4" max="4" width="19.28515625" style="125" customWidth="1"/>
    <col min="5" max="5" width="9.85546875" style="125" customWidth="1"/>
    <col min="6" max="6" width="14.42578125" style="125" customWidth="1"/>
    <col min="7" max="8" width="12.140625" style="125" customWidth="1"/>
    <col min="9" max="9" width="14.42578125" style="125" customWidth="1"/>
    <col min="10" max="16384" width="9.140625" style="125"/>
  </cols>
  <sheetData>
    <row r="1" spans="1:19" ht="13.5" customHeight="1" x14ac:dyDescent="0.2">
      <c r="A1" s="202"/>
      <c r="B1" s="203"/>
      <c r="C1" s="203"/>
      <c r="D1" s="203"/>
      <c r="E1" s="203"/>
      <c r="F1" s="203"/>
      <c r="G1" s="204"/>
      <c r="H1" s="204"/>
      <c r="I1" s="204"/>
    </row>
    <row r="2" spans="1:19" ht="13.5" customHeight="1" x14ac:dyDescent="0.2">
      <c r="A2" s="202"/>
      <c r="B2" s="188" t="s">
        <v>0</v>
      </c>
      <c r="C2" s="188" t="s">
        <v>1</v>
      </c>
      <c r="D2" s="200"/>
      <c r="E2" s="200" t="s">
        <v>2</v>
      </c>
      <c r="F2" s="201" t="s">
        <v>3</v>
      </c>
      <c r="G2" s="201" t="s">
        <v>4</v>
      </c>
      <c r="H2" s="201" t="s">
        <v>207</v>
      </c>
      <c r="I2" s="201" t="s">
        <v>208</v>
      </c>
    </row>
    <row r="3" spans="1:19" ht="13.5" customHeight="1" x14ac:dyDescent="0.2">
      <c r="A3" s="234">
        <v>1</v>
      </c>
      <c r="B3" s="217" t="s">
        <v>224</v>
      </c>
      <c r="C3" s="218" t="s">
        <v>5</v>
      </c>
      <c r="D3" s="219"/>
      <c r="E3" s="220" t="s">
        <v>125</v>
      </c>
      <c r="F3" s="220" t="s">
        <v>227</v>
      </c>
      <c r="G3" s="220" t="s">
        <v>228</v>
      </c>
      <c r="H3" s="221" t="s">
        <v>229</v>
      </c>
      <c r="I3" s="221" t="s">
        <v>229</v>
      </c>
      <c r="M3" s="146"/>
      <c r="N3" s="146"/>
      <c r="R3" s="125" t="s">
        <v>209</v>
      </c>
      <c r="S3" s="125" t="s">
        <v>209</v>
      </c>
    </row>
    <row r="4" spans="1:19" ht="13.5" customHeight="1" x14ac:dyDescent="0.2">
      <c r="A4" s="234">
        <f>+A3+1</f>
        <v>2</v>
      </c>
      <c r="B4" s="217" t="s">
        <v>225</v>
      </c>
      <c r="C4" s="217" t="s">
        <v>230</v>
      </c>
      <c r="D4" s="220"/>
      <c r="E4" s="220" t="s">
        <v>125</v>
      </c>
      <c r="F4" s="220" t="s">
        <v>227</v>
      </c>
      <c r="G4" s="220" t="s">
        <v>228</v>
      </c>
      <c r="H4" s="222" t="s">
        <v>229</v>
      </c>
      <c r="I4" s="221" t="s">
        <v>229</v>
      </c>
      <c r="M4" s="146"/>
      <c r="N4" s="146"/>
      <c r="R4" s="125" t="s">
        <v>209</v>
      </c>
      <c r="S4" s="125" t="s">
        <v>209</v>
      </c>
    </row>
    <row r="5" spans="1:19" ht="13.5" customHeight="1" x14ac:dyDescent="0.2">
      <c r="A5" s="234">
        <f t="shared" ref="A5:A22" si="0">+A4+1</f>
        <v>3</v>
      </c>
      <c r="B5" s="217" t="s">
        <v>226</v>
      </c>
      <c r="C5" s="217" t="s">
        <v>231</v>
      </c>
      <c r="D5" s="220"/>
      <c r="E5" s="220" t="s">
        <v>125</v>
      </c>
      <c r="F5" s="220" t="s">
        <v>227</v>
      </c>
      <c r="G5" s="220" t="s">
        <v>232</v>
      </c>
      <c r="H5" s="223" t="s">
        <v>233</v>
      </c>
      <c r="I5" s="224" t="s">
        <v>234</v>
      </c>
      <c r="M5" s="146"/>
      <c r="N5" s="146"/>
      <c r="R5" s="125" t="s">
        <v>209</v>
      </c>
      <c r="S5" s="125" t="s">
        <v>209</v>
      </c>
    </row>
    <row r="6" spans="1:19" ht="13.5" customHeight="1" x14ac:dyDescent="0.2">
      <c r="A6" s="234">
        <f t="shared" si="0"/>
        <v>4</v>
      </c>
      <c r="B6" s="217" t="s">
        <v>235</v>
      </c>
      <c r="C6" s="217" t="s">
        <v>7</v>
      </c>
      <c r="D6" s="220"/>
      <c r="E6" s="220" t="s">
        <v>6</v>
      </c>
      <c r="F6" s="220" t="s">
        <v>227</v>
      </c>
      <c r="G6" s="220" t="s">
        <v>232</v>
      </c>
      <c r="H6" s="223" t="s">
        <v>233</v>
      </c>
      <c r="I6" s="224" t="s">
        <v>234</v>
      </c>
      <c r="M6" s="146"/>
      <c r="N6" s="146"/>
      <c r="R6" s="125" t="s">
        <v>209</v>
      </c>
      <c r="S6" s="125" t="s">
        <v>209</v>
      </c>
    </row>
    <row r="7" spans="1:19" ht="13.5" customHeight="1" x14ac:dyDescent="0.2">
      <c r="A7" s="234">
        <f t="shared" si="0"/>
        <v>5</v>
      </c>
      <c r="B7" s="217" t="s">
        <v>236</v>
      </c>
      <c r="C7" s="217" t="s">
        <v>8</v>
      </c>
      <c r="D7" s="220"/>
      <c r="E7" s="220" t="s">
        <v>6</v>
      </c>
      <c r="F7" s="220" t="s">
        <v>227</v>
      </c>
      <c r="G7" s="220" t="s">
        <v>237</v>
      </c>
      <c r="H7" s="223" t="s">
        <v>233</v>
      </c>
      <c r="I7" s="224" t="s">
        <v>234</v>
      </c>
      <c r="M7" s="146"/>
      <c r="N7" s="146"/>
      <c r="R7" s="125" t="s">
        <v>209</v>
      </c>
      <c r="S7" s="125" t="s">
        <v>209</v>
      </c>
    </row>
    <row r="8" spans="1:19" ht="13.5" customHeight="1" x14ac:dyDescent="0.2">
      <c r="A8" s="234">
        <f t="shared" si="0"/>
        <v>6</v>
      </c>
      <c r="B8" s="217" t="s">
        <v>238</v>
      </c>
      <c r="C8" s="217" t="s">
        <v>239</v>
      </c>
      <c r="D8" s="220"/>
      <c r="E8" s="220" t="s">
        <v>6</v>
      </c>
      <c r="F8" s="220" t="s">
        <v>227</v>
      </c>
      <c r="G8" s="220" t="s">
        <v>228</v>
      </c>
      <c r="H8" s="225" t="s">
        <v>229</v>
      </c>
      <c r="I8" s="225" t="s">
        <v>229</v>
      </c>
      <c r="M8" s="146"/>
      <c r="N8" s="146"/>
      <c r="R8" s="125" t="s">
        <v>209</v>
      </c>
      <c r="S8" s="125" t="s">
        <v>209</v>
      </c>
    </row>
    <row r="9" spans="1:19" ht="13.5" customHeight="1" x14ac:dyDescent="0.2">
      <c r="A9" s="234">
        <f t="shared" si="0"/>
        <v>7</v>
      </c>
      <c r="B9" s="217" t="s">
        <v>240</v>
      </c>
      <c r="C9" s="217" t="s">
        <v>241</v>
      </c>
      <c r="D9" s="220"/>
      <c r="E9" s="220" t="s">
        <v>125</v>
      </c>
      <c r="F9" s="220" t="s">
        <v>227</v>
      </c>
      <c r="G9" s="220" t="s">
        <v>232</v>
      </c>
      <c r="H9" s="223" t="s">
        <v>233</v>
      </c>
      <c r="I9" s="224" t="s">
        <v>234</v>
      </c>
      <c r="M9" s="146"/>
      <c r="N9" s="146"/>
      <c r="R9" s="125" t="s">
        <v>209</v>
      </c>
      <c r="S9" s="125" t="s">
        <v>209</v>
      </c>
    </row>
    <row r="10" spans="1:19" ht="13.5" customHeight="1" x14ac:dyDescent="0.2">
      <c r="A10" s="234">
        <f t="shared" si="0"/>
        <v>8</v>
      </c>
      <c r="B10" s="217" t="s">
        <v>242</v>
      </c>
      <c r="C10" s="217" t="s">
        <v>212</v>
      </c>
      <c r="D10" s="220"/>
      <c r="E10" s="220" t="s">
        <v>6</v>
      </c>
      <c r="F10" s="220" t="s">
        <v>227</v>
      </c>
      <c r="G10" s="220" t="s">
        <v>232</v>
      </c>
      <c r="H10" s="223" t="s">
        <v>233</v>
      </c>
      <c r="I10" s="224" t="s">
        <v>234</v>
      </c>
      <c r="M10" s="146"/>
      <c r="N10" s="146"/>
      <c r="R10" s="125" t="s">
        <v>209</v>
      </c>
      <c r="S10" s="125" t="s">
        <v>209</v>
      </c>
    </row>
    <row r="11" spans="1:19" ht="13.5" customHeight="1" x14ac:dyDescent="0.2">
      <c r="A11" s="234">
        <f t="shared" si="0"/>
        <v>9</v>
      </c>
      <c r="B11" s="217" t="s">
        <v>243</v>
      </c>
      <c r="C11" s="217" t="s">
        <v>210</v>
      </c>
      <c r="D11" s="220"/>
      <c r="E11" s="220" t="s">
        <v>6</v>
      </c>
      <c r="F11" s="220" t="s">
        <v>227</v>
      </c>
      <c r="G11" s="220" t="s">
        <v>237</v>
      </c>
      <c r="H11" s="223" t="s">
        <v>233</v>
      </c>
      <c r="I11" s="224" t="s">
        <v>234</v>
      </c>
      <c r="M11" s="146"/>
      <c r="N11" s="146"/>
      <c r="R11" s="125" t="s">
        <v>209</v>
      </c>
      <c r="S11" s="125" t="s">
        <v>209</v>
      </c>
    </row>
    <row r="12" spans="1:19" ht="13.5" customHeight="1" x14ac:dyDescent="0.2">
      <c r="A12" s="234">
        <f t="shared" si="0"/>
        <v>10</v>
      </c>
      <c r="B12" s="217" t="s">
        <v>244</v>
      </c>
      <c r="C12" s="217" t="s">
        <v>11</v>
      </c>
      <c r="D12" s="220"/>
      <c r="E12" s="220" t="s">
        <v>125</v>
      </c>
      <c r="F12" s="220" t="s">
        <v>227</v>
      </c>
      <c r="G12" s="220" t="s">
        <v>237</v>
      </c>
      <c r="H12" s="223" t="s">
        <v>233</v>
      </c>
      <c r="I12" s="224" t="s">
        <v>234</v>
      </c>
      <c r="M12" s="146"/>
      <c r="N12" s="146"/>
      <c r="R12" s="125" t="s">
        <v>209</v>
      </c>
      <c r="S12" s="125" t="s">
        <v>209</v>
      </c>
    </row>
    <row r="13" spans="1:19" ht="13.5" customHeight="1" x14ac:dyDescent="0.2">
      <c r="A13" s="234">
        <f t="shared" si="0"/>
        <v>11</v>
      </c>
      <c r="B13" s="217" t="s">
        <v>245</v>
      </c>
      <c r="C13" s="217" t="s">
        <v>183</v>
      </c>
      <c r="D13" s="220"/>
      <c r="E13" s="220" t="s">
        <v>246</v>
      </c>
      <c r="F13" s="220" t="s">
        <v>151</v>
      </c>
      <c r="G13" s="220" t="s">
        <v>232</v>
      </c>
      <c r="H13" s="223" t="s">
        <v>233</v>
      </c>
      <c r="I13" s="224" t="s">
        <v>234</v>
      </c>
      <c r="M13" s="146"/>
      <c r="N13" s="146"/>
      <c r="R13" s="125" t="s">
        <v>209</v>
      </c>
      <c r="S13" s="125" t="s">
        <v>209</v>
      </c>
    </row>
    <row r="14" spans="1:19" ht="13.5" customHeight="1" x14ac:dyDescent="0.2">
      <c r="A14" s="234">
        <f t="shared" si="0"/>
        <v>12</v>
      </c>
      <c r="B14" s="217" t="s">
        <v>247</v>
      </c>
      <c r="C14" s="217" t="s">
        <v>187</v>
      </c>
      <c r="D14" s="220"/>
      <c r="E14" s="220" t="s">
        <v>6</v>
      </c>
      <c r="F14" s="220" t="s">
        <v>227</v>
      </c>
      <c r="G14" s="220" t="s">
        <v>237</v>
      </c>
      <c r="H14" s="223" t="s">
        <v>233</v>
      </c>
      <c r="I14" s="224" t="s">
        <v>234</v>
      </c>
      <c r="M14" s="146"/>
      <c r="N14" s="146"/>
      <c r="R14" s="125" t="s">
        <v>209</v>
      </c>
      <c r="S14" s="125" t="s">
        <v>209</v>
      </c>
    </row>
    <row r="15" spans="1:19" ht="13.5" customHeight="1" x14ac:dyDescent="0.2">
      <c r="A15" s="234">
        <f t="shared" si="0"/>
        <v>13</v>
      </c>
      <c r="B15" s="217" t="s">
        <v>248</v>
      </c>
      <c r="C15" s="217" t="s">
        <v>211</v>
      </c>
      <c r="D15" s="220"/>
      <c r="E15" s="220" t="s">
        <v>125</v>
      </c>
      <c r="F15" s="220" t="s">
        <v>227</v>
      </c>
      <c r="G15" s="220" t="s">
        <v>228</v>
      </c>
      <c r="H15" s="225" t="s">
        <v>229</v>
      </c>
      <c r="I15" s="225" t="s">
        <v>229</v>
      </c>
      <c r="M15" s="146"/>
      <c r="N15" s="146"/>
      <c r="R15" s="125" t="s">
        <v>209</v>
      </c>
      <c r="S15" s="125" t="s">
        <v>209</v>
      </c>
    </row>
    <row r="16" spans="1:19" ht="13.5" customHeight="1" x14ac:dyDescent="0.2">
      <c r="A16" s="234">
        <f t="shared" si="0"/>
        <v>14</v>
      </c>
      <c r="B16" s="217" t="s">
        <v>249</v>
      </c>
      <c r="C16" s="217" t="s">
        <v>159</v>
      </c>
      <c r="D16" s="220"/>
      <c r="E16" s="220" t="s">
        <v>6</v>
      </c>
      <c r="F16" s="220" t="s">
        <v>227</v>
      </c>
      <c r="G16" s="220" t="s">
        <v>237</v>
      </c>
      <c r="H16" s="223" t="s">
        <v>233</v>
      </c>
      <c r="I16" s="224" t="s">
        <v>234</v>
      </c>
      <c r="M16" s="146"/>
      <c r="N16" s="146"/>
      <c r="R16" s="125" t="s">
        <v>209</v>
      </c>
      <c r="S16" s="125" t="s">
        <v>209</v>
      </c>
    </row>
    <row r="17" spans="1:19" ht="13.5" customHeight="1" x14ac:dyDescent="0.2">
      <c r="A17" s="234">
        <f t="shared" si="0"/>
        <v>15</v>
      </c>
      <c r="B17" s="217" t="s">
        <v>250</v>
      </c>
      <c r="C17" s="217" t="s">
        <v>251</v>
      </c>
      <c r="D17" s="220"/>
      <c r="E17" s="220" t="s">
        <v>6</v>
      </c>
      <c r="F17" s="220" t="s">
        <v>227</v>
      </c>
      <c r="G17" s="220" t="s">
        <v>228</v>
      </c>
      <c r="H17" s="225" t="s">
        <v>229</v>
      </c>
      <c r="I17" s="225" t="s">
        <v>229</v>
      </c>
      <c r="M17" s="146"/>
      <c r="N17" s="146"/>
      <c r="R17" s="125" t="s">
        <v>209</v>
      </c>
      <c r="S17" s="125" t="s">
        <v>209</v>
      </c>
    </row>
    <row r="18" spans="1:19" ht="13.5" customHeight="1" x14ac:dyDescent="0.2">
      <c r="A18" s="234">
        <f t="shared" si="0"/>
        <v>16</v>
      </c>
      <c r="B18" s="217" t="s">
        <v>252</v>
      </c>
      <c r="C18" s="217" t="s">
        <v>253</v>
      </c>
      <c r="D18" s="220"/>
      <c r="E18" s="220" t="s">
        <v>254</v>
      </c>
      <c r="F18" s="220" t="s">
        <v>227</v>
      </c>
      <c r="G18" s="220" t="s">
        <v>232</v>
      </c>
      <c r="H18" s="223" t="s">
        <v>207</v>
      </c>
      <c r="I18" s="224" t="s">
        <v>234</v>
      </c>
      <c r="M18" s="146"/>
      <c r="N18" s="146"/>
      <c r="R18" s="125" t="s">
        <v>209</v>
      </c>
      <c r="S18" s="125" t="s">
        <v>209</v>
      </c>
    </row>
    <row r="19" spans="1:19" ht="13.5" customHeight="1" x14ac:dyDescent="0.2">
      <c r="A19" s="234">
        <f t="shared" si="0"/>
        <v>17</v>
      </c>
      <c r="B19" s="217" t="s">
        <v>255</v>
      </c>
      <c r="C19" s="217" t="s">
        <v>284</v>
      </c>
      <c r="D19" s="220"/>
      <c r="E19" s="220" t="s">
        <v>125</v>
      </c>
      <c r="F19" s="220" t="s">
        <v>227</v>
      </c>
      <c r="G19" s="220" t="s">
        <v>237</v>
      </c>
      <c r="H19" s="223" t="s">
        <v>207</v>
      </c>
      <c r="I19" s="224" t="s">
        <v>287</v>
      </c>
      <c r="M19" s="146"/>
      <c r="N19" s="146"/>
      <c r="R19" s="125" t="s">
        <v>209</v>
      </c>
      <c r="S19" s="125" t="s">
        <v>209</v>
      </c>
    </row>
    <row r="20" spans="1:19" ht="13.5" customHeight="1" x14ac:dyDescent="0.2">
      <c r="A20" s="234">
        <f t="shared" si="0"/>
        <v>18</v>
      </c>
      <c r="B20" s="217" t="s">
        <v>256</v>
      </c>
      <c r="C20" s="217" t="s">
        <v>311</v>
      </c>
      <c r="D20" s="220"/>
      <c r="E20" s="220" t="s">
        <v>10</v>
      </c>
      <c r="F20" s="220" t="s">
        <v>227</v>
      </c>
      <c r="G20" s="220" t="s">
        <v>237</v>
      </c>
      <c r="H20" s="221"/>
      <c r="I20" s="221"/>
      <c r="M20" s="146"/>
      <c r="N20" s="146"/>
      <c r="R20" s="125" t="s">
        <v>209</v>
      </c>
      <c r="S20" s="125" t="s">
        <v>209</v>
      </c>
    </row>
    <row r="21" spans="1:19" ht="13.5" customHeight="1" x14ac:dyDescent="0.2">
      <c r="A21" s="234">
        <f t="shared" si="0"/>
        <v>19</v>
      </c>
      <c r="B21" s="217" t="s">
        <v>258</v>
      </c>
      <c r="C21" s="217" t="s">
        <v>312</v>
      </c>
      <c r="D21" s="220"/>
      <c r="E21" s="220" t="s">
        <v>10</v>
      </c>
      <c r="F21" s="220" t="s">
        <v>227</v>
      </c>
      <c r="G21" s="220" t="s">
        <v>232</v>
      </c>
      <c r="H21" s="221"/>
      <c r="I21" s="221"/>
      <c r="M21" s="146"/>
      <c r="N21" s="146"/>
      <c r="R21" s="125" t="s">
        <v>209</v>
      </c>
      <c r="S21" s="125" t="s">
        <v>209</v>
      </c>
    </row>
    <row r="22" spans="1:19" ht="13.5" customHeight="1" x14ac:dyDescent="0.2">
      <c r="A22" s="234">
        <f t="shared" si="0"/>
        <v>20</v>
      </c>
      <c r="B22" s="226" t="s">
        <v>259</v>
      </c>
      <c r="C22" s="226" t="s">
        <v>9</v>
      </c>
      <c r="D22" s="227"/>
      <c r="E22" s="227" t="s">
        <v>6</v>
      </c>
      <c r="F22" s="220" t="s">
        <v>151</v>
      </c>
      <c r="G22" s="220"/>
      <c r="H22" s="221"/>
      <c r="I22" s="221"/>
      <c r="M22" s="146"/>
      <c r="N22" s="146"/>
      <c r="R22" s="125" t="s">
        <v>209</v>
      </c>
      <c r="S22" s="125" t="s">
        <v>209</v>
      </c>
    </row>
    <row r="23" spans="1:19" ht="13.5" customHeight="1" x14ac:dyDescent="0.2">
      <c r="A23" s="202"/>
      <c r="B23" s="208"/>
      <c r="C23" s="145"/>
      <c r="D23" s="145"/>
      <c r="E23" s="208"/>
      <c r="F23" s="207"/>
      <c r="G23" s="207"/>
      <c r="H23" s="207"/>
      <c r="I23" s="207"/>
    </row>
    <row r="24" spans="1:19" ht="13.5" customHeight="1" x14ac:dyDescent="0.2">
      <c r="A24" s="202"/>
      <c r="B24" s="423" t="s">
        <v>160</v>
      </c>
      <c r="C24" s="424"/>
      <c r="D24" s="145"/>
      <c r="E24" s="145"/>
      <c r="F24" s="145"/>
      <c r="G24" s="129"/>
      <c r="H24" s="129"/>
      <c r="I24" s="129"/>
    </row>
    <row r="25" spans="1:19" ht="13.5" customHeight="1" x14ac:dyDescent="0.2">
      <c r="A25" s="202"/>
      <c r="B25" s="228" t="s">
        <v>161</v>
      </c>
      <c r="C25" s="229">
        <f>COUNTA(B3:B22)</f>
        <v>20</v>
      </c>
      <c r="D25" s="145"/>
      <c r="E25" s="145"/>
      <c r="F25" s="145"/>
      <c r="G25" s="129"/>
      <c r="H25" s="129"/>
      <c r="I25" s="129"/>
    </row>
    <row r="26" spans="1:19" ht="13.5" customHeight="1" x14ac:dyDescent="0.2">
      <c r="A26" s="202"/>
      <c r="B26" s="230" t="s">
        <v>162</v>
      </c>
      <c r="C26" s="231">
        <f>COUNTA(G3:G22)-C31</f>
        <v>14</v>
      </c>
      <c r="D26" s="145"/>
      <c r="E26" s="145"/>
      <c r="F26" s="145"/>
      <c r="G26" s="129"/>
      <c r="H26" s="129"/>
      <c r="I26" s="129"/>
    </row>
    <row r="27" spans="1:19" ht="13.5" customHeight="1" x14ac:dyDescent="0.2">
      <c r="A27" s="202"/>
      <c r="B27" s="230" t="s">
        <v>163</v>
      </c>
      <c r="C27" s="231">
        <f>COUNTIF(G3:G22, "Did Win")</f>
        <v>7</v>
      </c>
      <c r="D27" s="145"/>
      <c r="E27" s="145"/>
      <c r="F27" s="145"/>
      <c r="G27" s="129"/>
      <c r="H27" s="129"/>
      <c r="I27" s="129"/>
    </row>
    <row r="28" spans="1:19" ht="13.5" customHeight="1" x14ac:dyDescent="0.2">
      <c r="A28" s="202"/>
      <c r="B28" s="230" t="s">
        <v>164</v>
      </c>
      <c r="C28" s="231">
        <f>COUNTIF(G3:G22, "Didn't Win")</f>
        <v>7</v>
      </c>
      <c r="D28" s="145"/>
      <c r="E28" s="145"/>
      <c r="F28" s="145"/>
      <c r="G28" s="129"/>
      <c r="H28" s="129"/>
      <c r="I28" s="129"/>
    </row>
    <row r="29" spans="1:19" ht="13.5" customHeight="1" x14ac:dyDescent="0.2">
      <c r="A29" s="202"/>
      <c r="B29" s="230" t="s">
        <v>205</v>
      </c>
      <c r="C29" s="231">
        <f>COUNTIF(G3:G22, "Draw")</f>
        <v>0</v>
      </c>
      <c r="D29" s="145"/>
      <c r="E29" s="145"/>
      <c r="F29" s="145"/>
      <c r="G29" s="129"/>
      <c r="H29" s="129"/>
      <c r="I29" s="129"/>
    </row>
    <row r="30" spans="1:19" ht="13.5" customHeight="1" x14ac:dyDescent="0.2">
      <c r="A30" s="202"/>
      <c r="B30" s="230" t="s">
        <v>184</v>
      </c>
      <c r="C30" s="231">
        <f>COUNTIF(G3:G22, "Abandoned")</f>
        <v>0</v>
      </c>
      <c r="D30" s="145"/>
      <c r="E30" s="145"/>
      <c r="F30" s="145"/>
      <c r="G30" s="129"/>
      <c r="H30" s="129"/>
      <c r="I30" s="129"/>
    </row>
    <row r="31" spans="1:19" ht="13.5" customHeight="1" x14ac:dyDescent="0.2">
      <c r="A31" s="202"/>
      <c r="B31" s="232" t="s">
        <v>165</v>
      </c>
      <c r="C31" s="233">
        <f>COUNTIF(G3:G22, "Cancelled")</f>
        <v>5</v>
      </c>
      <c r="D31" s="425"/>
      <c r="E31" s="426"/>
      <c r="F31" s="426"/>
      <c r="G31" s="426"/>
      <c r="H31" s="426"/>
      <c r="I31" s="426"/>
      <c r="J31" s="426"/>
    </row>
    <row r="32" spans="1:19" ht="13.5" customHeight="1" x14ac:dyDescent="0.2">
      <c r="A32" s="206"/>
      <c r="B32" s="145"/>
      <c r="C32" s="145"/>
      <c r="D32" s="145"/>
      <c r="E32" s="145"/>
      <c r="F32" s="145"/>
      <c r="G32" s="129"/>
      <c r="H32" s="129"/>
      <c r="I32" s="129"/>
    </row>
    <row r="33" spans="1:19" ht="13.5" customHeight="1" x14ac:dyDescent="0.2">
      <c r="A33" s="206"/>
      <c r="B33" s="142" t="s">
        <v>12</v>
      </c>
      <c r="C33" s="145"/>
      <c r="D33" s="145"/>
      <c r="E33" s="145"/>
      <c r="F33" s="145"/>
      <c r="G33" s="129"/>
      <c r="H33" s="129"/>
      <c r="I33" s="129"/>
      <c r="O33" s="125" t="s">
        <v>209</v>
      </c>
      <c r="P33" s="125" t="s">
        <v>209</v>
      </c>
      <c r="Q33" s="125" t="s">
        <v>209</v>
      </c>
      <c r="R33" s="125" t="s">
        <v>209</v>
      </c>
    </row>
    <row r="34" spans="1:19" ht="13.5" customHeight="1" x14ac:dyDescent="0.2">
      <c r="A34" s="206"/>
      <c r="B34" s="209">
        <v>43281</v>
      </c>
      <c r="C34" s="210" t="s">
        <v>261</v>
      </c>
      <c r="D34" s="210"/>
      <c r="E34" s="210"/>
      <c r="F34" s="145"/>
      <c r="G34" s="145"/>
      <c r="H34" s="204"/>
      <c r="I34" s="129"/>
      <c r="M34" s="146"/>
      <c r="N34" s="146"/>
      <c r="O34" s="146"/>
      <c r="P34" s="125" t="s">
        <v>209</v>
      </c>
      <c r="Q34" s="125" t="s">
        <v>209</v>
      </c>
      <c r="R34" s="125" t="s">
        <v>209</v>
      </c>
      <c r="S34" s="125" t="s">
        <v>209</v>
      </c>
    </row>
    <row r="35" spans="1:19" ht="13.5" customHeight="1" x14ac:dyDescent="0.25">
      <c r="A35" s="211"/>
      <c r="B35" s="212" t="s">
        <v>213</v>
      </c>
      <c r="C35" s="210" t="s">
        <v>13</v>
      </c>
      <c r="D35" s="210"/>
      <c r="E35" s="210"/>
      <c r="F35" s="210"/>
      <c r="G35" s="145"/>
      <c r="H35" s="204"/>
      <c r="I35" s="129"/>
      <c r="M35" s="146"/>
      <c r="N35" s="146"/>
      <c r="O35" s="125" t="s">
        <v>209</v>
      </c>
      <c r="P35" s="125" t="s">
        <v>209</v>
      </c>
      <c r="Q35" s="125" t="s">
        <v>209</v>
      </c>
      <c r="R35" s="125" t="s">
        <v>209</v>
      </c>
      <c r="S35" s="125" t="s">
        <v>209</v>
      </c>
    </row>
    <row r="36" spans="1:19" x14ac:dyDescent="0.2">
      <c r="B36" s="213">
        <v>43329</v>
      </c>
      <c r="C36" s="210" t="s">
        <v>262</v>
      </c>
      <c r="D36" s="210"/>
      <c r="E36" s="210"/>
      <c r="F36" s="210"/>
      <c r="G36" s="144"/>
      <c r="H36" s="144"/>
      <c r="I36" s="129"/>
      <c r="L36" s="214"/>
      <c r="M36" s="146"/>
      <c r="N36" s="146"/>
      <c r="O36" s="146"/>
      <c r="P36" s="146"/>
      <c r="Q36" s="125" t="s">
        <v>209</v>
      </c>
      <c r="R36" s="125" t="s">
        <v>209</v>
      </c>
      <c r="S36" s="125" t="s">
        <v>209</v>
      </c>
    </row>
    <row r="37" spans="1:19" x14ac:dyDescent="0.2">
      <c r="B37" s="213" t="s">
        <v>263</v>
      </c>
      <c r="C37" s="210" t="s">
        <v>264</v>
      </c>
      <c r="D37" s="210"/>
      <c r="E37" s="210"/>
      <c r="F37" s="210"/>
      <c r="G37" s="129"/>
      <c r="H37" s="129"/>
      <c r="I37" s="129"/>
      <c r="M37" s="146"/>
      <c r="N37" s="146"/>
      <c r="O37" s="146"/>
      <c r="P37" s="125" t="s">
        <v>209</v>
      </c>
      <c r="Q37" s="125" t="s">
        <v>209</v>
      </c>
      <c r="R37" s="125" t="s">
        <v>209</v>
      </c>
      <c r="S37" s="125" t="s">
        <v>209</v>
      </c>
    </row>
    <row r="38" spans="1:19" x14ac:dyDescent="0.2">
      <c r="B38" s="213">
        <v>43435</v>
      </c>
      <c r="C38" s="210" t="s">
        <v>265</v>
      </c>
      <c r="D38" s="210"/>
      <c r="E38" s="210"/>
      <c r="F38" s="210"/>
      <c r="G38" s="129"/>
      <c r="H38" s="129"/>
      <c r="I38" s="129"/>
      <c r="L38" s="214"/>
      <c r="M38" s="146"/>
      <c r="N38" s="146"/>
      <c r="O38" s="146"/>
    </row>
    <row r="39" spans="1:19" x14ac:dyDescent="0.2">
      <c r="B39" s="215"/>
      <c r="C39" s="216"/>
      <c r="D39" s="216"/>
      <c r="E39" s="129"/>
      <c r="F39" s="129"/>
      <c r="G39" s="129"/>
      <c r="H39" s="129"/>
      <c r="I39" s="129"/>
    </row>
    <row r="40" spans="1:19" x14ac:dyDescent="0.2">
      <c r="B40" s="215"/>
      <c r="C40" s="216"/>
      <c r="D40" s="216"/>
      <c r="E40" s="129"/>
      <c r="F40" s="129"/>
      <c r="G40" s="129"/>
      <c r="H40" s="129"/>
      <c r="I40" s="129"/>
    </row>
    <row r="41" spans="1:19" x14ac:dyDescent="0.2">
      <c r="B41" s="215"/>
      <c r="C41" s="216"/>
      <c r="D41" s="216"/>
      <c r="E41" s="129"/>
      <c r="F41" s="129"/>
      <c r="G41" s="129"/>
      <c r="H41" s="129"/>
      <c r="I41" s="129"/>
    </row>
    <row r="42" spans="1:19" x14ac:dyDescent="0.2">
      <c r="B42" s="215"/>
      <c r="C42" s="216"/>
      <c r="D42" s="216"/>
      <c r="E42" s="129"/>
      <c r="F42" s="129"/>
      <c r="G42" s="129"/>
      <c r="H42" s="129"/>
      <c r="I42" s="129"/>
    </row>
    <row r="43" spans="1:19" x14ac:dyDescent="0.2">
      <c r="B43" s="129"/>
      <c r="C43" s="129"/>
      <c r="D43" s="129"/>
      <c r="E43" s="129"/>
      <c r="F43" s="129"/>
      <c r="G43" s="129"/>
      <c r="H43" s="129"/>
      <c r="I43" s="129"/>
    </row>
    <row r="44" spans="1:19" x14ac:dyDescent="0.2">
      <c r="I44" s="129"/>
    </row>
  </sheetData>
  <mergeCells count="2">
    <mergeCell ref="B24:C24"/>
    <mergeCell ref="D31:J31"/>
  </mergeCells>
  <phoneticPr fontId="9" type="noConversion"/>
  <hyperlinks>
    <hyperlink ref="G16" r:id="rId1" display="http://nepotists.co.uk/scorecards/2018/13 - Teddington 2018 (Both Inning).pdf" xr:uid="{CBEA6BDD-9480-4904-8916-CEF28A720030}"/>
    <hyperlink ref="G14" r:id="rId2" display="http://nepotists.co.uk/scorecards/2018/9 - Crouch End.pdf" xr:uid="{6AAB516B-84D2-448D-B23E-E6C0F5BED37E}"/>
    <hyperlink ref="G13" r:id="rId3" display="http://nepotists.co.uk/scorecards/2018/8 - Royal Household 2018 (Both Inning).pdf" xr:uid="{B93B5AC7-3E02-4653-B15D-49E57D7CA592}"/>
    <hyperlink ref="G12" r:id="rId4" display="http://nepotists.co.uk/scorecards/2018/7 - Shepperton 2018 (Both Inning).pdf" xr:uid="{D1498A76-6171-4BE8-A96E-B10CD1D3B9BA}"/>
    <hyperlink ref="G11" r:id="rId5" display="http://nepotists.co.uk/scorecards/2018/6 - North Enfield 2018 (Both Inning).pdf" xr:uid="{92B8AC55-610B-4DFB-AE0A-6202A4942FF5}"/>
    <hyperlink ref="G10" r:id="rId6" display="http://nepotists.co.uk/scorecards/2018/5 - Chingford 2018 (Both Inning).pdf" xr:uid="{A868322D-DA40-441A-AF11-45FF3E716F76}"/>
    <hyperlink ref="G9" r:id="rId7" display="http://nepotists.co.uk/scorecards/2018/4 - Putney 2018 (Both Inning).pdf" xr:uid="{F48DE1D2-DF02-458E-A851-60F4422D8B87}"/>
    <hyperlink ref="G7" r:id="rId8" display="http://nepotists.co.uk/scorecards/2018/3 - Kew 2018 (Both Inning).pdf" xr:uid="{3579F7E6-B728-4F9B-A6D7-D1226F7B45FE}"/>
    <hyperlink ref="G6" r:id="rId9" display="http://nepotists.co.uk/scorecards/2018/2 - Northwood 2018 (Both Inning).pdf" xr:uid="{D9F774A6-D63D-4D49-85CA-9079C1CE7E48}"/>
    <hyperlink ref="G5" r:id="rId10" display="http://nepotists.co.uk/scorecards/2018/1 - Ickenham 2018 (Both Inning).pdf" xr:uid="{F98EE0A4-3063-407B-8494-29FA513E7EEB}"/>
    <hyperlink ref="I16" r:id="rId11" display="http://nepotists.co.uk/scorecards/2018/13 - Teddington 2018 (Both Inning).pdf" xr:uid="{887F4E2D-9F49-4E33-9F13-1F39D7D99E05}"/>
    <hyperlink ref="H16" r:id="rId12" display="http://nepotists.co.uk/scorecards/2018/9 - Crouch End.pdf" xr:uid="{08B2FC02-4002-49A4-ADBD-DA97CAB6FFFE}"/>
    <hyperlink ref="I14" r:id="rId13" display="http://nepotists.co.uk/scorecards/2018/8 - Royal Household 2018 (Both Inning).pdf" xr:uid="{7B409EA8-A093-4DF9-B18F-7BD2548F64F0}"/>
    <hyperlink ref="H14" r:id="rId14" display="http://nepotists.co.uk/scorecards/2018/7 - Shepperton 2018 (Both Inning).pdf" xr:uid="{FCFDE0EA-BDFD-4A8D-B55E-674D950A65B9}"/>
    <hyperlink ref="I13" r:id="rId15" display="http://nepotists.co.uk/scorecards/2018/6 - North Enfield 2018 (Both Inning).pdf" xr:uid="{35AD230D-09C7-4EBC-A324-2BC2BC736E57}"/>
    <hyperlink ref="H13" r:id="rId16" display="http://nepotists.co.uk/scorecards/2018/5 - Chingford 2018 (Both Inning).pdf" xr:uid="{70166BF4-59FA-42FC-9CA5-FE7580891AE0}"/>
    <hyperlink ref="I12" r:id="rId17" display="http://nepotists.co.uk/scorecards/2018/4 - Putney 2018 (Both Inning).pdf" xr:uid="{965B4814-376A-4565-B21F-BA5B714B9882}"/>
    <hyperlink ref="H12" r:id="rId18" display="http://nepotists.co.uk/scorecards/2018/3 - Kew 2018 (Both Inning).pdf" xr:uid="{913122BE-16D7-4F53-B28A-B840E66DBAB7}"/>
    <hyperlink ref="I11" r:id="rId19" display="http://nepotists.co.uk/scorecards/2018/2 - Northwood 2018 (Both Inning).pdf" xr:uid="{FBF31F40-DC31-4B24-91B4-6D82B7E530D9}"/>
    <hyperlink ref="H11" r:id="rId20" display="http://nepotists.co.uk/scorecards/2018/1 - Ickenham 2018 (Both Inning).pdf" xr:uid="{5F730ACD-B89C-43A5-A91F-4F8F0A786B0B}"/>
    <hyperlink ref="H18" r:id="rId21" display="http://nepotists.co.uk/scorecards/2018/14 - Shepherd's Bush 2018 (Both Inning).pdf" xr:uid="{24127308-9B6C-4954-9C32-74186D8CF885}"/>
    <hyperlink ref="I18" r:id="rId22" location="ShepherdsBush18" display="http://nepotists.co.uk/2018_match_reports.asp - ShepherdsBush18" xr:uid="{94A71780-E95D-4D54-B9ED-C887A2461519}"/>
    <hyperlink ref="H19" r:id="rId23" display="http://nepotists.co.uk/scorecards/2018/15 - Little Missenden 2018 (Both Inning).pdf" xr:uid="{21F84BE1-57F4-4D8F-B792-1FC7790C1AA4}"/>
  </hyperlinks>
  <pageMargins left="0" right="0" top="0.39370078740157483" bottom="0" header="0" footer="0"/>
  <pageSetup paperSize="9" orientation="portrait" horizontalDpi="4294967293" r:id="rId2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AD260"/>
  <sheetViews>
    <sheetView zoomScaleNormal="100" workbookViewId="0"/>
  </sheetViews>
  <sheetFormatPr defaultColWidth="9.140625" defaultRowHeight="12.6" customHeight="1" x14ac:dyDescent="0.2"/>
  <cols>
    <col min="1" max="1" width="2.7109375" style="10" customWidth="1"/>
    <col min="2" max="2" width="1.85546875" style="10" customWidth="1"/>
    <col min="3" max="3" width="9.85546875" style="10" customWidth="1"/>
    <col min="4" max="4" width="18.7109375" style="10" customWidth="1"/>
    <col min="5" max="5" width="9.85546875" style="10" customWidth="1"/>
    <col min="6" max="6" width="16.7109375" style="10" customWidth="1"/>
    <col min="7" max="7" width="2.7109375" style="32" customWidth="1"/>
    <col min="8" max="8" width="1.85546875" style="10" customWidth="1"/>
    <col min="9" max="9" width="9.85546875" style="10" customWidth="1"/>
    <col min="10" max="10" width="8.7109375" style="10" customWidth="1"/>
    <col min="11" max="11" width="9.85546875" style="10" customWidth="1"/>
    <col min="12" max="12" width="16.7109375" style="10" customWidth="1"/>
    <col min="13" max="13" width="1.85546875" style="10" customWidth="1"/>
    <col min="14" max="16" width="7" style="10" customWidth="1"/>
    <col min="17" max="17" width="12.140625" style="10" customWidth="1"/>
    <col min="18" max="16384" width="9.140625" style="10"/>
  </cols>
  <sheetData>
    <row r="2" spans="1:30" ht="12.6" customHeight="1" x14ac:dyDescent="0.2">
      <c r="B2" s="429" t="s">
        <v>166</v>
      </c>
      <c r="C2" s="430"/>
      <c r="D2" s="431"/>
    </row>
    <row r="3" spans="1:30" ht="12.6" customHeight="1" x14ac:dyDescent="0.2">
      <c r="B3" s="78"/>
      <c r="C3" s="93" t="s">
        <v>161</v>
      </c>
      <c r="D3" s="91">
        <f>Fixtures!C25</f>
        <v>20</v>
      </c>
    </row>
    <row r="4" spans="1:30" ht="12.6" customHeight="1" x14ac:dyDescent="0.2">
      <c r="B4" s="79"/>
      <c r="C4" s="90" t="s">
        <v>162</v>
      </c>
      <c r="D4" s="92">
        <f>Fixtures!C26</f>
        <v>14</v>
      </c>
    </row>
    <row r="5" spans="1:30" ht="12.6" customHeight="1" x14ac:dyDescent="0.2">
      <c r="B5" s="79"/>
      <c r="C5" s="90" t="s">
        <v>163</v>
      </c>
      <c r="D5" s="92">
        <f>Fixtures!C27</f>
        <v>7</v>
      </c>
    </row>
    <row r="6" spans="1:30" ht="12.6" customHeight="1" x14ac:dyDescent="0.2">
      <c r="B6" s="79"/>
      <c r="C6" s="90" t="s">
        <v>164</v>
      </c>
      <c r="D6" s="92">
        <f>Fixtures!C28</f>
        <v>7</v>
      </c>
    </row>
    <row r="7" spans="1:30" ht="12.6" customHeight="1" x14ac:dyDescent="0.2">
      <c r="B7" s="79"/>
      <c r="C7" s="90" t="s">
        <v>184</v>
      </c>
      <c r="D7" s="54">
        <f>Fixtures!C30</f>
        <v>0</v>
      </c>
    </row>
    <row r="8" spans="1:30" ht="12.6" customHeight="1" x14ac:dyDescent="0.2">
      <c r="B8" s="80"/>
      <c r="C8" s="94" t="s">
        <v>165</v>
      </c>
      <c r="D8" s="95">
        <f>Fixtures!C31</f>
        <v>5</v>
      </c>
    </row>
    <row r="10" spans="1:30" ht="13.5" customHeight="1" x14ac:dyDescent="0.2">
      <c r="A10" s="1"/>
      <c r="B10" s="36"/>
      <c r="C10" s="37" t="str">
        <f>Fixtures!B3</f>
        <v>Sun 22 Apr</v>
      </c>
      <c r="D10" s="37"/>
      <c r="E10" s="11" t="str">
        <f>Fixtures!E3</f>
        <v>1.00 pm</v>
      </c>
      <c r="F10" s="12" t="str">
        <f>Fixtures!F3</f>
        <v>40 Overs</v>
      </c>
      <c r="G10" s="26"/>
      <c r="M10" s="13"/>
      <c r="N10" s="14"/>
      <c r="O10" s="14"/>
      <c r="P10" s="15"/>
      <c r="Q10" s="16"/>
      <c r="S10" s="6"/>
      <c r="T10" s="6"/>
      <c r="U10" s="8"/>
      <c r="V10" s="6"/>
      <c r="W10" s="6"/>
      <c r="X10" s="6"/>
      <c r="Y10" s="6"/>
      <c r="Z10" s="9"/>
      <c r="AA10" s="9"/>
      <c r="AB10" s="6"/>
      <c r="AC10" s="6"/>
      <c r="AD10" s="6"/>
    </row>
    <row r="11" spans="1:30" ht="13.5" customHeight="1" x14ac:dyDescent="0.2">
      <c r="A11" s="1"/>
      <c r="B11" s="65"/>
      <c r="C11" s="83" t="str">
        <f>Fixtures!C3</f>
        <v>Highgate</v>
      </c>
      <c r="D11" s="84"/>
      <c r="E11" s="84"/>
      <c r="F11" s="88"/>
      <c r="G11" s="1"/>
      <c r="M11" s="13"/>
      <c r="N11" s="7"/>
      <c r="O11" s="7"/>
      <c r="P11" s="7"/>
      <c r="Q11" s="7"/>
      <c r="S11" s="6"/>
      <c r="T11" s="6"/>
      <c r="U11" s="5"/>
      <c r="V11" s="5"/>
      <c r="W11" s="5"/>
      <c r="X11" s="5"/>
      <c r="Y11" s="5"/>
      <c r="Z11" s="5"/>
      <c r="AA11" s="5"/>
      <c r="AB11" s="6"/>
      <c r="AC11" s="6"/>
      <c r="AD11" s="6"/>
    </row>
    <row r="12" spans="1:30" ht="13.5" customHeight="1" x14ac:dyDescent="0.2">
      <c r="A12" s="1"/>
      <c r="B12" s="61"/>
      <c r="C12" s="62" t="s">
        <v>141</v>
      </c>
      <c r="D12" s="86"/>
      <c r="E12" s="62"/>
      <c r="F12" s="87"/>
      <c r="G12" s="1"/>
      <c r="M12" s="13"/>
      <c r="N12" s="7"/>
      <c r="O12" s="7"/>
      <c r="P12" s="7"/>
      <c r="Q12" s="7"/>
      <c r="S12" s="6"/>
      <c r="T12" s="6"/>
      <c r="U12" s="5"/>
      <c r="V12" s="5"/>
      <c r="W12" s="5"/>
      <c r="X12" s="5"/>
      <c r="Y12" s="5"/>
      <c r="Z12" s="5"/>
      <c r="AA12" s="5"/>
      <c r="AB12" s="6"/>
      <c r="AC12" s="6"/>
      <c r="AD12" s="6"/>
    </row>
    <row r="13" spans="1:30" ht="13.5" customHeight="1" x14ac:dyDescent="0.2">
      <c r="A13" s="4"/>
      <c r="B13" s="58"/>
      <c r="C13" s="59" t="s">
        <v>14</v>
      </c>
      <c r="D13" s="64"/>
      <c r="E13" s="59" t="s">
        <v>15</v>
      </c>
      <c r="F13" s="57"/>
      <c r="G13" s="1"/>
      <c r="M13" s="13"/>
      <c r="N13" s="7"/>
      <c r="O13" s="7"/>
      <c r="P13" s="7"/>
      <c r="Q13" s="7"/>
      <c r="S13" s="6"/>
      <c r="T13" s="6"/>
      <c r="U13" s="5"/>
      <c r="V13" s="5"/>
      <c r="W13" s="5"/>
      <c r="X13" s="5"/>
      <c r="Y13" s="5"/>
      <c r="Z13" s="5"/>
      <c r="AA13" s="5"/>
      <c r="AB13" s="6"/>
      <c r="AC13" s="6"/>
      <c r="AD13" s="6"/>
    </row>
    <row r="14" spans="1:30" ht="13.5" customHeight="1" x14ac:dyDescent="0.2">
      <c r="A14" s="1"/>
      <c r="B14" s="58"/>
      <c r="C14" s="56"/>
      <c r="D14" s="63"/>
      <c r="E14" s="56"/>
      <c r="F14" s="57"/>
      <c r="G14" s="4"/>
      <c r="M14" s="13"/>
      <c r="N14" s="7"/>
      <c r="O14" s="7"/>
      <c r="P14" s="7"/>
      <c r="Q14" s="7"/>
      <c r="S14" s="6"/>
      <c r="T14" s="6"/>
      <c r="U14" s="5"/>
      <c r="V14" s="5"/>
      <c r="W14" s="5"/>
      <c r="X14" s="5"/>
      <c r="Y14" s="5"/>
      <c r="Z14" s="5"/>
      <c r="AA14" s="5"/>
      <c r="AB14" s="6"/>
      <c r="AC14" s="6"/>
      <c r="AD14" s="6"/>
    </row>
    <row r="15" spans="1:30" ht="13.5" customHeight="1" x14ac:dyDescent="0.2">
      <c r="A15" s="1"/>
      <c r="B15" s="58"/>
      <c r="C15" s="56"/>
      <c r="D15" s="63"/>
      <c r="E15" s="56"/>
      <c r="F15" s="57"/>
      <c r="G15" s="1"/>
      <c r="M15" s="13"/>
      <c r="N15" s="7"/>
      <c r="O15" s="7"/>
      <c r="P15" s="7"/>
      <c r="Q15" s="7"/>
      <c r="S15" s="6"/>
      <c r="T15" s="6"/>
      <c r="U15" s="5"/>
      <c r="V15" s="5"/>
      <c r="W15" s="5"/>
      <c r="X15" s="5"/>
      <c r="Y15" s="5"/>
      <c r="Z15" s="5"/>
      <c r="AA15" s="5"/>
      <c r="AB15" s="6"/>
      <c r="AC15" s="6"/>
      <c r="AD15" s="6"/>
    </row>
    <row r="16" spans="1:30" ht="13.5" customHeight="1" x14ac:dyDescent="0.2">
      <c r="A16" s="1"/>
      <c r="B16" s="58"/>
      <c r="C16" s="56"/>
      <c r="D16" s="63"/>
      <c r="E16" s="56"/>
      <c r="F16" s="57"/>
      <c r="G16" s="1"/>
      <c r="M16" s="13"/>
      <c r="N16" s="7"/>
      <c r="O16" s="7"/>
      <c r="P16" s="7"/>
      <c r="Q16" s="7"/>
      <c r="S16" s="6"/>
      <c r="T16" s="6"/>
      <c r="U16" s="5"/>
      <c r="V16" s="5"/>
      <c r="W16" s="5"/>
      <c r="X16" s="5"/>
      <c r="Y16" s="5"/>
      <c r="Z16" s="5"/>
      <c r="AA16" s="5"/>
      <c r="AB16" s="6"/>
      <c r="AC16" s="6"/>
      <c r="AD16" s="6"/>
    </row>
    <row r="17" spans="1:30" ht="13.5" customHeight="1" x14ac:dyDescent="0.2">
      <c r="A17" s="1"/>
      <c r="B17" s="58"/>
      <c r="C17" s="19" t="s">
        <v>266</v>
      </c>
      <c r="D17" s="59"/>
      <c r="E17" s="59"/>
      <c r="F17" s="60"/>
      <c r="G17" s="1"/>
      <c r="M17" s="13"/>
      <c r="N17" s="7"/>
      <c r="O17" s="7"/>
      <c r="P17" s="7"/>
      <c r="Q17" s="7"/>
      <c r="R17" s="6"/>
      <c r="S17" s="6"/>
      <c r="T17" s="6"/>
      <c r="U17" s="5"/>
      <c r="V17" s="5"/>
      <c r="W17" s="5"/>
      <c r="X17" s="5"/>
      <c r="Y17" s="5"/>
      <c r="Z17" s="5"/>
      <c r="AA17" s="5"/>
      <c r="AB17" s="6"/>
      <c r="AC17" s="6"/>
      <c r="AD17" s="6"/>
    </row>
    <row r="18" spans="1:30" ht="13.5" customHeight="1" x14ac:dyDescent="0.2">
      <c r="A18" s="1"/>
      <c r="B18" s="58"/>
      <c r="C18" s="432"/>
      <c r="D18" s="432"/>
      <c r="E18" s="432"/>
      <c r="F18" s="433"/>
      <c r="G18" s="1"/>
      <c r="M18" s="13"/>
      <c r="N18" s="7"/>
      <c r="O18" s="7"/>
      <c r="P18" s="7"/>
      <c r="Q18" s="7"/>
      <c r="S18" s="6"/>
      <c r="T18" s="6"/>
      <c r="U18" s="5"/>
      <c r="V18" s="5"/>
      <c r="W18" s="5"/>
      <c r="X18" s="5"/>
      <c r="Y18" s="5"/>
      <c r="Z18" s="5"/>
      <c r="AA18" s="5"/>
      <c r="AB18" s="6"/>
      <c r="AC18" s="6"/>
      <c r="AD18" s="6"/>
    </row>
    <row r="19" spans="1:30" ht="13.5" customHeight="1" x14ac:dyDescent="0.2">
      <c r="A19" s="1"/>
      <c r="B19" s="58"/>
      <c r="C19" s="59" t="s">
        <v>16</v>
      </c>
      <c r="D19" s="59"/>
      <c r="E19" s="59" t="s">
        <v>4</v>
      </c>
      <c r="F19" s="82"/>
      <c r="G19" s="1"/>
      <c r="M19" s="13"/>
      <c r="N19" s="7"/>
      <c r="O19" s="7"/>
      <c r="P19" s="7"/>
      <c r="Q19" s="7"/>
      <c r="S19" s="6"/>
      <c r="T19" s="6"/>
      <c r="U19" s="5"/>
      <c r="V19" s="5"/>
      <c r="W19" s="5"/>
      <c r="X19" s="5"/>
      <c r="Y19" s="5"/>
      <c r="Z19" s="5"/>
      <c r="AA19" s="5"/>
      <c r="AB19" s="6"/>
      <c r="AC19" s="6"/>
      <c r="AD19" s="6"/>
    </row>
    <row r="20" spans="1:30" ht="13.5" customHeight="1" x14ac:dyDescent="0.2">
      <c r="A20" s="4"/>
      <c r="B20" s="61"/>
      <c r="C20" s="62"/>
      <c r="D20" s="62"/>
      <c r="E20" s="62" t="str">
        <f>Fixtures!G3</f>
        <v>Cancelled</v>
      </c>
      <c r="F20" s="21"/>
      <c r="G20" s="1"/>
      <c r="M20" s="13"/>
      <c r="N20" s="7"/>
      <c r="O20" s="7"/>
      <c r="P20" s="7"/>
      <c r="Q20" s="7"/>
      <c r="S20" s="6"/>
      <c r="T20" s="6"/>
      <c r="U20" s="5"/>
      <c r="V20" s="5"/>
      <c r="W20" s="5"/>
      <c r="X20" s="5"/>
      <c r="Y20" s="5"/>
      <c r="Z20" s="5"/>
      <c r="AA20" s="5"/>
      <c r="AB20" s="6"/>
      <c r="AC20" s="6"/>
      <c r="AD20" s="6"/>
    </row>
    <row r="21" spans="1:30" ht="13.5" customHeight="1" x14ac:dyDescent="0.2">
      <c r="A21" s="1"/>
      <c r="B21" s="22"/>
      <c r="C21" s="22"/>
      <c r="D21" s="22"/>
      <c r="E21" s="22"/>
      <c r="F21" s="22"/>
      <c r="G21" s="4"/>
      <c r="M21" s="13"/>
      <c r="N21" s="7"/>
      <c r="O21" s="7"/>
      <c r="P21" s="7"/>
      <c r="Q21" s="7"/>
      <c r="S21" s="6"/>
      <c r="T21" s="6"/>
      <c r="U21" s="5"/>
      <c r="V21" s="5"/>
      <c r="W21" s="5"/>
      <c r="X21" s="5"/>
      <c r="Y21" s="5"/>
      <c r="Z21" s="5"/>
      <c r="AA21" s="5"/>
      <c r="AB21" s="6"/>
      <c r="AC21" s="6"/>
      <c r="AD21" s="6"/>
    </row>
    <row r="22" spans="1:30" ht="13.5" customHeight="1" x14ac:dyDescent="0.2">
      <c r="A22" s="1"/>
      <c r="B22" s="36"/>
      <c r="C22" s="37" t="str">
        <f>Fixtures!B4</f>
        <v>Sun 29 Apr</v>
      </c>
      <c r="D22" s="37"/>
      <c r="E22" s="11" t="str">
        <f>Fixtures!E4</f>
        <v>1.00 pm</v>
      </c>
      <c r="F22" s="12" t="str">
        <f>Fixtures!F4</f>
        <v>40 Overs</v>
      </c>
      <c r="M22" s="13"/>
      <c r="N22" s="7"/>
      <c r="O22" s="7"/>
      <c r="P22" s="7"/>
      <c r="Q22" s="7"/>
      <c r="S22" s="6"/>
      <c r="T22" s="6"/>
      <c r="U22" s="5"/>
      <c r="V22" s="5"/>
      <c r="W22" s="5"/>
      <c r="X22" s="5"/>
      <c r="Y22" s="5"/>
      <c r="Z22" s="5"/>
      <c r="AA22" s="5"/>
      <c r="AB22" s="6"/>
      <c r="AC22" s="6"/>
      <c r="AD22" s="6"/>
    </row>
    <row r="23" spans="1:30" ht="13.5" customHeight="1" x14ac:dyDescent="0.2">
      <c r="A23" s="1"/>
      <c r="B23" s="65"/>
      <c r="C23" s="100" t="str">
        <f>Fixtures!C4</f>
        <v>Harrow St. Mary's</v>
      </c>
      <c r="D23" s="84"/>
      <c r="E23" s="84"/>
      <c r="F23" s="88"/>
      <c r="M23" s="13"/>
      <c r="N23" s="7"/>
      <c r="O23" s="7"/>
      <c r="P23" s="7"/>
      <c r="Q23" s="7"/>
      <c r="S23" s="6"/>
      <c r="T23" s="6"/>
      <c r="U23" s="5"/>
      <c r="V23" s="5"/>
      <c r="W23" s="5"/>
      <c r="X23" s="5"/>
      <c r="Y23" s="5"/>
      <c r="Z23" s="5"/>
      <c r="AA23" s="5"/>
      <c r="AB23" s="6"/>
      <c r="AC23" s="6"/>
      <c r="AD23" s="6"/>
    </row>
    <row r="24" spans="1:30" ht="13.5" customHeight="1" x14ac:dyDescent="0.2">
      <c r="A24" s="1"/>
      <c r="B24" s="61"/>
      <c r="C24" s="62" t="s">
        <v>141</v>
      </c>
      <c r="D24" s="86"/>
      <c r="E24" s="62"/>
      <c r="F24" s="87"/>
      <c r="M24" s="13"/>
      <c r="N24" s="7"/>
      <c r="O24" s="7"/>
      <c r="P24" s="7"/>
      <c r="Q24" s="7"/>
      <c r="S24" s="6"/>
      <c r="T24" s="6"/>
      <c r="U24" s="5"/>
      <c r="V24" s="5"/>
      <c r="W24" s="5"/>
      <c r="X24" s="5"/>
      <c r="Y24" s="5"/>
      <c r="Z24" s="5"/>
      <c r="AA24" s="5"/>
      <c r="AB24" s="6"/>
      <c r="AC24" s="6"/>
      <c r="AD24" s="6"/>
    </row>
    <row r="25" spans="1:30" ht="13.5" customHeight="1" x14ac:dyDescent="0.2">
      <c r="A25" s="1"/>
      <c r="B25" s="58"/>
      <c r="C25" s="59" t="s">
        <v>14</v>
      </c>
      <c r="D25" s="64"/>
      <c r="E25" s="59" t="s">
        <v>15</v>
      </c>
      <c r="F25" s="57"/>
      <c r="M25" s="13"/>
      <c r="N25" s="7"/>
      <c r="O25" s="7"/>
      <c r="P25" s="7"/>
      <c r="Q25" s="7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</row>
    <row r="26" spans="1:30" ht="13.5" customHeight="1" x14ac:dyDescent="0.2">
      <c r="A26" s="1"/>
      <c r="B26" s="58"/>
      <c r="C26" s="103"/>
      <c r="D26" s="63"/>
      <c r="E26" s="103"/>
      <c r="F26" s="57"/>
      <c r="M26" s="13"/>
      <c r="N26" s="7"/>
      <c r="O26" s="7"/>
      <c r="P26" s="7"/>
      <c r="Q26" s="7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</row>
    <row r="27" spans="1:30" ht="13.5" customHeight="1" x14ac:dyDescent="0.2">
      <c r="A27" s="1"/>
      <c r="B27" s="58"/>
      <c r="C27" s="103"/>
      <c r="D27" s="63"/>
      <c r="E27" s="103"/>
      <c r="F27" s="57"/>
      <c r="M27" s="13"/>
      <c r="N27" s="7"/>
      <c r="O27" s="7"/>
      <c r="P27" s="7"/>
      <c r="Q27" s="7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</row>
    <row r="28" spans="1:30" ht="13.5" customHeight="1" x14ac:dyDescent="0.2">
      <c r="A28" s="1"/>
      <c r="B28" s="58"/>
      <c r="C28" s="103"/>
      <c r="D28" s="63"/>
      <c r="E28" s="103"/>
      <c r="F28" s="57"/>
      <c r="M28" s="13"/>
      <c r="N28" s="7"/>
      <c r="O28" s="7"/>
      <c r="P28" s="7"/>
      <c r="Q28" s="7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</row>
    <row r="29" spans="1:30" ht="13.5" customHeight="1" x14ac:dyDescent="0.2">
      <c r="A29" s="1"/>
      <c r="B29" s="58"/>
      <c r="C29" s="19" t="s">
        <v>266</v>
      </c>
      <c r="D29" s="59"/>
      <c r="E29" s="59"/>
      <c r="F29" s="60"/>
      <c r="M29" s="13"/>
      <c r="N29" s="7"/>
      <c r="O29" s="7"/>
      <c r="P29" s="7"/>
      <c r="Q29" s="7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</row>
    <row r="30" spans="1:30" ht="13.5" customHeight="1" x14ac:dyDescent="0.2">
      <c r="A30" s="1"/>
      <c r="B30" s="58"/>
      <c r="C30" s="432"/>
      <c r="D30" s="432"/>
      <c r="E30" s="432"/>
      <c r="F30" s="433"/>
      <c r="M30" s="13"/>
      <c r="N30" s="7"/>
      <c r="O30" s="7"/>
      <c r="P30" s="7"/>
      <c r="Q30" s="7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</row>
    <row r="31" spans="1:30" ht="13.5" customHeight="1" x14ac:dyDescent="0.2">
      <c r="A31" s="1"/>
      <c r="B31" s="58"/>
      <c r="C31" s="59" t="s">
        <v>16</v>
      </c>
      <c r="D31" s="59"/>
      <c r="E31" s="59" t="s">
        <v>4</v>
      </c>
      <c r="F31" s="82"/>
      <c r="M31" s="13"/>
      <c r="N31" s="7"/>
      <c r="O31" s="7"/>
      <c r="P31" s="7"/>
      <c r="Q31" s="7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</row>
    <row r="32" spans="1:30" ht="13.5" customHeight="1" x14ac:dyDescent="0.2">
      <c r="A32" s="1"/>
      <c r="B32" s="61"/>
      <c r="C32" s="62"/>
      <c r="D32" s="62"/>
      <c r="E32" s="62" t="str">
        <f>Fixtures!G4</f>
        <v>Cancelled</v>
      </c>
      <c r="F32" s="21"/>
      <c r="M32" s="13"/>
      <c r="N32" s="24"/>
      <c r="O32" s="25"/>
      <c r="P32" s="25"/>
      <c r="Q32" s="24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</row>
    <row r="33" spans="1:30" ht="13.5" customHeight="1" x14ac:dyDescent="0.2">
      <c r="A33" s="1"/>
      <c r="B33" s="22"/>
      <c r="C33" s="22"/>
      <c r="D33" s="22"/>
      <c r="E33" s="22"/>
      <c r="F33" s="22"/>
      <c r="M33" s="13"/>
      <c r="N33" s="24"/>
      <c r="O33" s="25"/>
      <c r="P33" s="25"/>
      <c r="Q33" s="2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</row>
    <row r="34" spans="1:30" ht="13.5" customHeight="1" x14ac:dyDescent="0.2">
      <c r="A34" s="1"/>
      <c r="B34" s="36"/>
      <c r="C34" s="105" t="str">
        <f>Fixtures!B5</f>
        <v>Sun 06 May</v>
      </c>
      <c r="D34" s="37"/>
      <c r="E34" s="11" t="str">
        <f>Fixtures!E5</f>
        <v>1.00 pm</v>
      </c>
      <c r="F34" s="12" t="str">
        <f>Fixtures!F5</f>
        <v>40 Overs</v>
      </c>
      <c r="M34" s="13"/>
      <c r="N34" s="7"/>
      <c r="O34" s="7"/>
      <c r="P34" s="7"/>
      <c r="Q34" s="7"/>
      <c r="S34" s="6"/>
      <c r="T34" s="6"/>
      <c r="U34" s="5"/>
      <c r="V34" s="5"/>
      <c r="W34" s="5"/>
      <c r="X34" s="5"/>
      <c r="Y34" s="5"/>
      <c r="Z34" s="5"/>
      <c r="AA34" s="5"/>
      <c r="AB34" s="6"/>
      <c r="AC34" s="6"/>
      <c r="AD34" s="6"/>
    </row>
    <row r="35" spans="1:30" ht="13.5" customHeight="1" x14ac:dyDescent="0.2">
      <c r="A35" s="1"/>
      <c r="B35" s="65"/>
      <c r="C35" s="100" t="s">
        <v>141</v>
      </c>
      <c r="D35" s="84"/>
      <c r="E35" s="84"/>
      <c r="F35" s="88"/>
      <c r="M35" s="13"/>
      <c r="N35" s="7"/>
      <c r="O35" s="7"/>
      <c r="P35" s="7"/>
      <c r="Q35" s="7"/>
      <c r="S35" s="6"/>
      <c r="T35" s="6"/>
      <c r="U35" s="5"/>
      <c r="V35" s="5"/>
      <c r="W35" s="5"/>
      <c r="X35" s="5"/>
      <c r="Y35" s="5"/>
      <c r="Z35" s="5"/>
      <c r="AA35" s="5"/>
      <c r="AB35" s="6"/>
      <c r="AC35" s="6"/>
      <c r="AD35" s="6"/>
    </row>
    <row r="36" spans="1:30" ht="13.5" customHeight="1" x14ac:dyDescent="0.2">
      <c r="A36" s="1"/>
      <c r="B36" s="61"/>
      <c r="C36" s="97" t="str">
        <f>Fixtures!C5</f>
        <v>Ickenham</v>
      </c>
      <c r="D36" s="86"/>
      <c r="E36" s="62"/>
      <c r="F36" s="87"/>
      <c r="M36" s="13"/>
      <c r="N36" s="7"/>
      <c r="O36" s="7"/>
      <c r="P36" s="7"/>
      <c r="Q36" s="7"/>
      <c r="S36" s="6"/>
      <c r="T36" s="6"/>
      <c r="U36" s="5"/>
      <c r="V36" s="5"/>
      <c r="W36" s="5"/>
      <c r="X36" s="5"/>
      <c r="Y36" s="5"/>
      <c r="Z36" s="5"/>
      <c r="AA36" s="5"/>
      <c r="AB36" s="6"/>
      <c r="AC36" s="6"/>
      <c r="AD36" s="6"/>
    </row>
    <row r="37" spans="1:30" ht="13.5" customHeight="1" x14ac:dyDescent="0.2">
      <c r="A37" s="1"/>
      <c r="B37" s="58"/>
      <c r="C37" s="59" t="s">
        <v>14</v>
      </c>
      <c r="D37" s="64"/>
      <c r="E37" s="59" t="s">
        <v>15</v>
      </c>
      <c r="F37" s="57"/>
      <c r="M37" s="13"/>
      <c r="N37" s="7"/>
      <c r="O37" s="7"/>
      <c r="P37" s="7"/>
      <c r="Q37" s="7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</row>
    <row r="38" spans="1:30" ht="13.5" customHeight="1" x14ac:dyDescent="0.2">
      <c r="A38" s="1"/>
      <c r="B38" s="58"/>
      <c r="C38" s="103"/>
      <c r="D38" s="63"/>
      <c r="E38" s="103"/>
      <c r="F38" s="57"/>
      <c r="M38" s="13"/>
      <c r="N38" s="7"/>
      <c r="O38" s="7"/>
      <c r="P38" s="7"/>
      <c r="Q38" s="7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</row>
    <row r="39" spans="1:30" ht="13.5" customHeight="1" x14ac:dyDescent="0.2">
      <c r="A39" s="1"/>
      <c r="B39" s="58"/>
      <c r="C39" s="103"/>
      <c r="D39" s="63"/>
      <c r="E39" s="103"/>
      <c r="F39" s="106"/>
      <c r="M39" s="13"/>
      <c r="N39" s="7"/>
      <c r="O39" s="7"/>
      <c r="P39" s="7"/>
      <c r="Q39" s="7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</row>
    <row r="40" spans="1:30" ht="13.5" customHeight="1" x14ac:dyDescent="0.2">
      <c r="A40" s="1"/>
      <c r="B40" s="58"/>
      <c r="C40" s="103"/>
      <c r="D40" s="63"/>
      <c r="E40" s="103"/>
      <c r="F40" s="57"/>
      <c r="M40" s="13"/>
      <c r="N40" s="7"/>
      <c r="O40" s="7"/>
      <c r="P40" s="7"/>
      <c r="Q40" s="7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</row>
    <row r="41" spans="1:30" ht="13.5" customHeight="1" x14ac:dyDescent="0.2">
      <c r="A41" s="1"/>
      <c r="B41" s="58"/>
      <c r="C41" s="19" t="s">
        <v>266</v>
      </c>
      <c r="D41" s="59"/>
      <c r="E41" s="59"/>
      <c r="F41" s="60"/>
      <c r="M41" s="13"/>
      <c r="N41" s="7"/>
      <c r="O41" s="7"/>
      <c r="P41" s="7"/>
      <c r="Q41" s="7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</row>
    <row r="42" spans="1:30" ht="13.5" customHeight="1" x14ac:dyDescent="0.2">
      <c r="A42" s="1"/>
      <c r="B42" s="58"/>
      <c r="C42" s="432"/>
      <c r="D42" s="432"/>
      <c r="E42" s="432"/>
      <c r="F42" s="433"/>
      <c r="M42" s="13"/>
      <c r="N42" s="7"/>
      <c r="O42" s="7"/>
      <c r="P42" s="7"/>
      <c r="Q42" s="7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</row>
    <row r="43" spans="1:30" ht="13.5" customHeight="1" x14ac:dyDescent="0.2">
      <c r="A43" s="1"/>
      <c r="B43" s="58"/>
      <c r="C43" s="59" t="s">
        <v>16</v>
      </c>
      <c r="D43" s="59"/>
      <c r="E43" s="59" t="s">
        <v>4</v>
      </c>
      <c r="F43" s="82"/>
      <c r="M43" s="13"/>
      <c r="N43" s="7"/>
      <c r="O43" s="7"/>
      <c r="P43" s="7"/>
      <c r="Q43" s="7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</row>
    <row r="44" spans="1:30" ht="13.5" customHeight="1" x14ac:dyDescent="0.2">
      <c r="A44" s="1"/>
      <c r="B44" s="61"/>
      <c r="C44" s="62"/>
      <c r="D44" s="62"/>
      <c r="E44" s="62" t="str">
        <f>Fixtures!G5</f>
        <v>Didn't Win</v>
      </c>
      <c r="F44" s="21"/>
      <c r="M44" s="13"/>
      <c r="N44" s="24"/>
      <c r="O44" s="25"/>
      <c r="P44" s="25"/>
      <c r="Q44" s="24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</row>
    <row r="45" spans="1:30" ht="13.5" customHeight="1" x14ac:dyDescent="0.2">
      <c r="A45" s="1"/>
      <c r="B45" s="104"/>
      <c r="C45" s="104"/>
      <c r="D45" s="104"/>
      <c r="E45" s="104"/>
      <c r="F45" s="104"/>
      <c r="M45" s="13"/>
      <c r="N45" s="24"/>
      <c r="O45" s="25"/>
      <c r="P45" s="25"/>
      <c r="Q45" s="2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</row>
    <row r="46" spans="1:30" ht="13.5" customHeight="1" x14ac:dyDescent="0.2">
      <c r="A46" s="1"/>
      <c r="B46" s="36"/>
      <c r="C46" s="37" t="str">
        <f>Fixtures!B6</f>
        <v>Sun 13 May</v>
      </c>
      <c r="D46" s="37"/>
      <c r="E46" s="11" t="str">
        <f>Fixtures!E6</f>
        <v>1.30 pm</v>
      </c>
      <c r="F46" s="12" t="str">
        <f>Fixtures!F6</f>
        <v>40 Overs</v>
      </c>
      <c r="G46" s="23"/>
      <c r="M46" s="13"/>
      <c r="N46" s="14"/>
      <c r="O46" s="7"/>
      <c r="P46" s="25"/>
      <c r="Q46" s="16"/>
    </row>
    <row r="47" spans="1:30" ht="13.5" customHeight="1" x14ac:dyDescent="0.2">
      <c r="A47" s="1"/>
      <c r="B47" s="65"/>
      <c r="C47" s="83" t="s">
        <v>141</v>
      </c>
      <c r="D47" s="66"/>
      <c r="E47" s="84"/>
      <c r="F47" s="85"/>
      <c r="G47" s="23"/>
      <c r="M47" s="13"/>
      <c r="N47" s="24"/>
      <c r="O47" s="25"/>
      <c r="P47" s="25"/>
      <c r="Q47" s="24"/>
    </row>
    <row r="48" spans="1:30" ht="13.5" customHeight="1" x14ac:dyDescent="0.2">
      <c r="A48" s="1"/>
      <c r="B48" s="38"/>
      <c r="C48" s="20" t="str">
        <f>Fixtures!C6</f>
        <v>Northwood</v>
      </c>
      <c r="D48" s="20"/>
      <c r="E48" s="62"/>
      <c r="F48" s="87"/>
      <c r="G48" s="23"/>
      <c r="M48" s="13"/>
      <c r="N48" s="24"/>
      <c r="O48" s="25"/>
      <c r="P48" s="25"/>
      <c r="Q48" s="24"/>
    </row>
    <row r="49" spans="1:17" ht="13.5" customHeight="1" x14ac:dyDescent="0.2">
      <c r="A49" s="1"/>
      <c r="B49" s="35"/>
      <c r="C49" s="19" t="s">
        <v>14</v>
      </c>
      <c r="D49" s="17"/>
      <c r="E49" s="19" t="s">
        <v>15</v>
      </c>
      <c r="F49" s="18"/>
      <c r="G49" s="23"/>
      <c r="M49" s="13"/>
      <c r="N49" s="28"/>
      <c r="O49" s="25"/>
      <c r="P49" s="25"/>
      <c r="Q49" s="28"/>
    </row>
    <row r="50" spans="1:17" ht="13.5" customHeight="1" x14ac:dyDescent="0.2">
      <c r="A50" s="1"/>
      <c r="B50" s="35"/>
      <c r="C50" s="56"/>
      <c r="D50" s="63"/>
      <c r="E50" s="56"/>
      <c r="F50" s="57"/>
      <c r="G50" s="23"/>
      <c r="M50" s="13"/>
      <c r="N50" s="24"/>
      <c r="O50" s="25"/>
      <c r="P50" s="25"/>
      <c r="Q50" s="24"/>
    </row>
    <row r="51" spans="1:17" ht="13.5" customHeight="1" x14ac:dyDescent="0.2">
      <c r="A51" s="1"/>
      <c r="B51" s="35"/>
      <c r="C51" s="56"/>
      <c r="D51" s="63"/>
      <c r="E51" s="56"/>
      <c r="F51" s="57"/>
      <c r="G51" s="23"/>
      <c r="M51" s="13"/>
      <c r="N51" s="24"/>
      <c r="O51" s="25"/>
      <c r="P51" s="25"/>
      <c r="Q51" s="24"/>
    </row>
    <row r="52" spans="1:17" ht="13.5" customHeight="1" x14ac:dyDescent="0.2">
      <c r="A52" s="1"/>
      <c r="B52" s="35"/>
      <c r="C52" s="56"/>
      <c r="D52" s="63"/>
      <c r="E52" s="56"/>
      <c r="F52" s="57"/>
      <c r="G52" s="23"/>
      <c r="M52" s="13"/>
      <c r="N52" s="24"/>
      <c r="O52" s="25"/>
      <c r="P52" s="25"/>
      <c r="Q52" s="24"/>
    </row>
    <row r="53" spans="1:17" ht="13.5" customHeight="1" x14ac:dyDescent="0.2">
      <c r="A53" s="1"/>
      <c r="B53" s="35"/>
      <c r="C53" s="19" t="s">
        <v>266</v>
      </c>
      <c r="D53" s="17"/>
      <c r="E53" s="17"/>
      <c r="F53" s="18"/>
      <c r="G53" s="23"/>
      <c r="M53" s="13"/>
      <c r="N53" s="24"/>
      <c r="O53" s="25"/>
      <c r="P53" s="25"/>
    </row>
    <row r="54" spans="1:17" ht="13.5" customHeight="1" x14ac:dyDescent="0.2">
      <c r="A54" s="1"/>
      <c r="B54" s="35"/>
      <c r="C54" s="427"/>
      <c r="D54" s="427"/>
      <c r="E54" s="427"/>
      <c r="F54" s="428"/>
      <c r="G54" s="23"/>
      <c r="M54" s="26"/>
      <c r="N54" s="29"/>
      <c r="O54" s="25"/>
      <c r="P54" s="25"/>
    </row>
    <row r="55" spans="1:17" ht="13.5" customHeight="1" x14ac:dyDescent="0.2">
      <c r="A55" s="1"/>
      <c r="B55" s="35"/>
      <c r="C55" s="19" t="s">
        <v>16</v>
      </c>
      <c r="D55" s="17"/>
      <c r="E55" s="19" t="s">
        <v>4</v>
      </c>
      <c r="F55" s="82"/>
      <c r="G55" s="23"/>
      <c r="M55" s="26"/>
      <c r="N55" s="30"/>
      <c r="O55" s="25"/>
      <c r="P55" s="25"/>
    </row>
    <row r="56" spans="1:17" ht="13.5" customHeight="1" x14ac:dyDescent="0.2">
      <c r="A56" s="1"/>
      <c r="B56" s="38"/>
      <c r="C56" s="20"/>
      <c r="D56" s="20"/>
      <c r="E56" s="20" t="str">
        <f>Fixtures!G6</f>
        <v>Didn't Win</v>
      </c>
      <c r="F56" s="21"/>
      <c r="G56" s="23"/>
      <c r="M56" s="26"/>
      <c r="N56" s="30"/>
      <c r="O56" s="25"/>
      <c r="P56" s="25"/>
    </row>
    <row r="57" spans="1:17" ht="13.5" customHeight="1" x14ac:dyDescent="0.2">
      <c r="A57" s="1"/>
      <c r="B57" s="7"/>
      <c r="C57" s="7"/>
      <c r="D57" s="7"/>
      <c r="E57" s="7"/>
      <c r="F57" s="7"/>
      <c r="G57" s="23"/>
      <c r="M57" s="26"/>
      <c r="N57" s="26"/>
      <c r="O57" s="25"/>
      <c r="P57" s="25"/>
    </row>
    <row r="58" spans="1:17" ht="13.5" customHeight="1" x14ac:dyDescent="0.2">
      <c r="A58" s="1"/>
      <c r="B58" s="36"/>
      <c r="C58" s="37" t="str">
        <f>Fixtures!B7</f>
        <v>Sun 20 May</v>
      </c>
      <c r="D58" s="37"/>
      <c r="E58" s="11" t="str">
        <f>Fixtures!E7</f>
        <v>1.30 pm</v>
      </c>
      <c r="F58" s="12" t="str">
        <f>Fixtures!F7</f>
        <v>40 Overs</v>
      </c>
      <c r="G58" s="4"/>
      <c r="M58" s="26"/>
      <c r="N58" s="26"/>
      <c r="O58" s="25"/>
      <c r="P58" s="25"/>
    </row>
    <row r="59" spans="1:17" ht="13.5" customHeight="1" x14ac:dyDescent="0.2">
      <c r="A59" s="1"/>
      <c r="B59" s="65"/>
      <c r="C59" s="83" t="str">
        <f>+Fixtures!C7</f>
        <v>Kew</v>
      </c>
      <c r="D59" s="66"/>
      <c r="E59" s="84"/>
      <c r="F59" s="85"/>
      <c r="G59" s="27"/>
      <c r="M59" s="26"/>
      <c r="N59" s="26"/>
      <c r="O59" s="25"/>
      <c r="P59" s="25"/>
    </row>
    <row r="60" spans="1:17" ht="13.5" customHeight="1" x14ac:dyDescent="0.2">
      <c r="A60" s="1"/>
      <c r="B60" s="38"/>
      <c r="C60" s="20" t="s">
        <v>141</v>
      </c>
      <c r="D60" s="20"/>
      <c r="E60" s="86"/>
      <c r="F60" s="87"/>
      <c r="G60" s="27"/>
      <c r="M60" s="26"/>
      <c r="N60" s="26"/>
      <c r="O60" s="25"/>
      <c r="P60" s="25"/>
    </row>
    <row r="61" spans="1:17" ht="13.5" customHeight="1" x14ac:dyDescent="0.2">
      <c r="A61" s="1"/>
      <c r="B61" s="35"/>
      <c r="C61" s="19" t="s">
        <v>14</v>
      </c>
      <c r="D61" s="17"/>
      <c r="E61" s="19" t="s">
        <v>15</v>
      </c>
      <c r="F61" s="18"/>
      <c r="G61" s="27"/>
      <c r="O61" s="25"/>
      <c r="P61" s="25"/>
    </row>
    <row r="62" spans="1:17" ht="13.5" customHeight="1" x14ac:dyDescent="0.2">
      <c r="A62" s="1"/>
      <c r="B62" s="35"/>
      <c r="C62" s="56"/>
      <c r="D62" s="63"/>
      <c r="E62" s="56"/>
      <c r="F62" s="57"/>
      <c r="G62" s="27"/>
      <c r="O62" s="25"/>
    </row>
    <row r="63" spans="1:17" ht="13.5" customHeight="1" x14ac:dyDescent="0.2">
      <c r="A63" s="1"/>
      <c r="B63" s="35"/>
      <c r="C63" s="56"/>
      <c r="D63" s="63"/>
      <c r="E63" s="56"/>
      <c r="F63" s="57"/>
      <c r="G63" s="27"/>
      <c r="O63" s="25"/>
    </row>
    <row r="64" spans="1:17" ht="13.5" customHeight="1" x14ac:dyDescent="0.2">
      <c r="A64" s="1"/>
      <c r="B64" s="35"/>
      <c r="C64" s="56"/>
      <c r="D64" s="63"/>
      <c r="E64" s="56"/>
      <c r="F64" s="57"/>
      <c r="G64" s="27"/>
      <c r="O64" s="25"/>
    </row>
    <row r="65" spans="1:15" ht="13.5" customHeight="1" x14ac:dyDescent="0.2">
      <c r="A65" s="1"/>
      <c r="B65" s="35"/>
      <c r="C65" s="19" t="s">
        <v>266</v>
      </c>
      <c r="D65" s="17"/>
      <c r="E65" s="17"/>
      <c r="F65" s="18"/>
      <c r="G65" s="27"/>
      <c r="O65" s="25"/>
    </row>
    <row r="66" spans="1:15" ht="13.5" customHeight="1" x14ac:dyDescent="0.2">
      <c r="A66" s="1"/>
      <c r="B66" s="35"/>
      <c r="C66" s="427"/>
      <c r="D66" s="427"/>
      <c r="E66" s="427"/>
      <c r="F66" s="428"/>
      <c r="G66" s="27"/>
      <c r="O66" s="25"/>
    </row>
    <row r="67" spans="1:15" ht="13.5" customHeight="1" x14ac:dyDescent="0.2">
      <c r="A67" s="1"/>
      <c r="B67" s="35"/>
      <c r="C67" s="19" t="s">
        <v>16</v>
      </c>
      <c r="D67" s="17"/>
      <c r="E67" s="19" t="s">
        <v>4</v>
      </c>
      <c r="F67" s="82"/>
      <c r="G67" s="27"/>
    </row>
    <row r="68" spans="1:15" ht="13.5" customHeight="1" x14ac:dyDescent="0.2">
      <c r="A68" s="1"/>
      <c r="B68" s="38"/>
      <c r="C68" s="20"/>
      <c r="D68" s="20"/>
      <c r="E68" s="20" t="str">
        <f>Fixtures!G7</f>
        <v>Did Win</v>
      </c>
      <c r="F68" s="21"/>
      <c r="G68" s="27"/>
    </row>
    <row r="69" spans="1:15" ht="13.5" customHeight="1" x14ac:dyDescent="0.2">
      <c r="A69" s="1"/>
      <c r="B69" s="7"/>
      <c r="C69" s="7"/>
      <c r="D69" s="7"/>
      <c r="E69" s="7"/>
      <c r="F69" s="7"/>
      <c r="G69" s="27"/>
    </row>
    <row r="70" spans="1:15" ht="13.5" customHeight="1" x14ac:dyDescent="0.2">
      <c r="A70" s="1"/>
      <c r="B70" s="36"/>
      <c r="C70" s="37" t="str">
        <f>Fixtures!B8</f>
        <v>Sun 27 May</v>
      </c>
      <c r="D70" s="37"/>
      <c r="E70" s="11" t="str">
        <f>Fixtures!E8</f>
        <v>1.30 pm</v>
      </c>
      <c r="F70" s="12" t="str">
        <f>Fixtures!F8</f>
        <v>40 Overs</v>
      </c>
      <c r="G70" s="4"/>
    </row>
    <row r="71" spans="1:15" ht="13.5" customHeight="1" x14ac:dyDescent="0.2">
      <c r="A71" s="1"/>
      <c r="B71" s="65"/>
      <c r="C71" s="66" t="str">
        <f>Fixtures!C8</f>
        <v>Barnes</v>
      </c>
      <c r="D71" s="66"/>
      <c r="E71" s="66"/>
      <c r="F71" s="85"/>
      <c r="G71" s="27"/>
    </row>
    <row r="72" spans="1:15" ht="13.5" customHeight="1" x14ac:dyDescent="0.2">
      <c r="A72" s="1"/>
      <c r="B72" s="38"/>
      <c r="C72" s="20" t="s">
        <v>141</v>
      </c>
      <c r="D72" s="20"/>
      <c r="E72" s="20"/>
      <c r="F72" s="87"/>
      <c r="G72" s="27"/>
    </row>
    <row r="73" spans="1:15" ht="13.5" customHeight="1" x14ac:dyDescent="0.2">
      <c r="A73" s="1"/>
      <c r="B73" s="35"/>
      <c r="C73" s="19" t="s">
        <v>14</v>
      </c>
      <c r="D73" s="17"/>
      <c r="E73" s="19" t="s">
        <v>15</v>
      </c>
      <c r="F73" s="18"/>
      <c r="G73" s="27"/>
    </row>
    <row r="74" spans="1:15" ht="13.5" customHeight="1" x14ac:dyDescent="0.2">
      <c r="A74" s="1"/>
      <c r="B74" s="35"/>
      <c r="C74" s="17"/>
      <c r="D74" s="17"/>
      <c r="E74" s="17"/>
      <c r="F74" s="57"/>
      <c r="G74" s="27"/>
    </row>
    <row r="75" spans="1:15" ht="13.5" customHeight="1" x14ac:dyDescent="0.2">
      <c r="A75" s="1"/>
      <c r="B75" s="35"/>
      <c r="C75" s="17"/>
      <c r="D75" s="17"/>
      <c r="E75" s="17"/>
      <c r="F75" s="18"/>
      <c r="G75" s="27"/>
    </row>
    <row r="76" spans="1:15" ht="13.5" customHeight="1" x14ac:dyDescent="0.2">
      <c r="A76" s="1"/>
      <c r="B76" s="35"/>
      <c r="C76" s="17"/>
      <c r="D76" s="17"/>
      <c r="E76" s="17"/>
      <c r="F76" s="18"/>
      <c r="G76" s="27"/>
    </row>
    <row r="77" spans="1:15" ht="13.5" customHeight="1" x14ac:dyDescent="0.2">
      <c r="A77" s="1"/>
      <c r="B77" s="35"/>
      <c r="C77" s="19" t="s">
        <v>266</v>
      </c>
      <c r="D77" s="17"/>
      <c r="E77" s="17"/>
      <c r="F77" s="18"/>
      <c r="G77" s="27"/>
    </row>
    <row r="78" spans="1:15" ht="13.5" customHeight="1" x14ac:dyDescent="0.2">
      <c r="A78" s="1"/>
      <c r="B78" s="35"/>
      <c r="C78" s="427"/>
      <c r="D78" s="427"/>
      <c r="E78" s="427"/>
      <c r="F78" s="428"/>
      <c r="G78" s="27"/>
    </row>
    <row r="79" spans="1:15" ht="13.5" customHeight="1" x14ac:dyDescent="0.2">
      <c r="A79" s="1"/>
      <c r="B79" s="35"/>
      <c r="C79" s="19" t="s">
        <v>16</v>
      </c>
      <c r="D79" s="17"/>
      <c r="E79" s="19" t="s">
        <v>4</v>
      </c>
      <c r="F79" s="82"/>
      <c r="G79" s="27"/>
    </row>
    <row r="80" spans="1:15" ht="13.5" customHeight="1" x14ac:dyDescent="0.2">
      <c r="A80" s="1"/>
      <c r="B80" s="38"/>
      <c r="C80" s="20"/>
      <c r="D80" s="20"/>
      <c r="E80" s="20" t="str">
        <f>Fixtures!G8</f>
        <v>Cancelled</v>
      </c>
      <c r="F80" s="21"/>
      <c r="G80" s="27"/>
    </row>
    <row r="81" spans="1:7" ht="13.5" customHeight="1" x14ac:dyDescent="0.2">
      <c r="A81" s="1"/>
      <c r="B81" s="7"/>
      <c r="C81" s="7"/>
      <c r="D81" s="7"/>
      <c r="E81" s="7"/>
      <c r="F81" s="7"/>
      <c r="G81" s="27"/>
    </row>
    <row r="82" spans="1:7" ht="13.5" customHeight="1" x14ac:dyDescent="0.2">
      <c r="A82" s="1"/>
      <c r="B82" s="36"/>
      <c r="C82" s="37" t="str">
        <f>Fixtures!B9</f>
        <v>Sun 03 Jun</v>
      </c>
      <c r="D82" s="37"/>
      <c r="E82" s="11" t="str">
        <f>Fixtures!E9</f>
        <v>1.00 pm</v>
      </c>
      <c r="F82" s="12" t="str">
        <f>Fixtures!F9</f>
        <v>40 Overs</v>
      </c>
      <c r="G82" s="27"/>
    </row>
    <row r="83" spans="1:7" ht="13.5" customHeight="1" x14ac:dyDescent="0.2">
      <c r="A83" s="1"/>
      <c r="B83" s="65"/>
      <c r="C83" s="66" t="s">
        <v>141</v>
      </c>
      <c r="D83" s="66"/>
      <c r="E83" s="66"/>
      <c r="F83" s="85"/>
      <c r="G83" s="27"/>
    </row>
    <row r="84" spans="1:7" ht="13.5" customHeight="1" x14ac:dyDescent="0.2">
      <c r="A84" s="1"/>
      <c r="B84" s="38"/>
      <c r="C84" s="20" t="str">
        <f>Fixtures!C9</f>
        <v>Putney</v>
      </c>
      <c r="D84" s="20"/>
      <c r="E84" s="20"/>
      <c r="F84" s="87"/>
      <c r="G84" s="27"/>
    </row>
    <row r="85" spans="1:7" ht="13.5" customHeight="1" x14ac:dyDescent="0.2">
      <c r="A85" s="1"/>
      <c r="B85" s="35"/>
      <c r="C85" s="19" t="s">
        <v>14</v>
      </c>
      <c r="D85" s="101"/>
      <c r="E85" s="19" t="s">
        <v>15</v>
      </c>
      <c r="F85" s="102"/>
      <c r="G85" s="27"/>
    </row>
    <row r="86" spans="1:7" ht="13.5" customHeight="1" x14ac:dyDescent="0.2">
      <c r="A86" s="1"/>
      <c r="B86" s="35"/>
      <c r="C86" s="101"/>
      <c r="D86" s="101"/>
      <c r="E86" s="101"/>
      <c r="F86" s="57"/>
      <c r="G86" s="27"/>
    </row>
    <row r="87" spans="1:7" ht="13.5" customHeight="1" x14ac:dyDescent="0.2">
      <c r="A87" s="1"/>
      <c r="B87" s="35"/>
      <c r="C87" s="101"/>
      <c r="D87" s="101"/>
      <c r="E87" s="101"/>
      <c r="F87" s="102"/>
      <c r="G87" s="27"/>
    </row>
    <row r="88" spans="1:7" ht="13.5" customHeight="1" x14ac:dyDescent="0.2">
      <c r="A88" s="1"/>
      <c r="B88" s="35"/>
      <c r="C88" s="101"/>
      <c r="D88" s="101"/>
      <c r="E88" s="101"/>
      <c r="F88" s="102"/>
      <c r="G88" s="27"/>
    </row>
    <row r="89" spans="1:7" ht="13.5" customHeight="1" x14ac:dyDescent="0.2">
      <c r="A89" s="1"/>
      <c r="B89" s="35"/>
      <c r="C89" s="19" t="s">
        <v>266</v>
      </c>
      <c r="D89" s="101"/>
      <c r="E89" s="101"/>
      <c r="F89" s="102"/>
      <c r="G89" s="27"/>
    </row>
    <row r="90" spans="1:7" ht="13.5" customHeight="1" x14ac:dyDescent="0.2">
      <c r="A90" s="1"/>
      <c r="B90" s="35"/>
      <c r="C90" s="427"/>
      <c r="D90" s="427"/>
      <c r="E90" s="427"/>
      <c r="F90" s="428"/>
      <c r="G90" s="27"/>
    </row>
    <row r="91" spans="1:7" ht="13.5" customHeight="1" x14ac:dyDescent="0.2">
      <c r="A91" s="1"/>
      <c r="B91" s="35"/>
      <c r="C91" s="19" t="s">
        <v>16</v>
      </c>
      <c r="D91" s="101"/>
      <c r="E91" s="19" t="s">
        <v>4</v>
      </c>
      <c r="F91" s="82"/>
      <c r="G91" s="27"/>
    </row>
    <row r="92" spans="1:7" ht="13.5" customHeight="1" x14ac:dyDescent="0.2">
      <c r="A92" s="1"/>
      <c r="B92" s="38"/>
      <c r="C92" s="20"/>
      <c r="D92" s="20"/>
      <c r="E92" s="20" t="str">
        <f>Fixtures!G9</f>
        <v>Didn't Win</v>
      </c>
      <c r="F92" s="21"/>
      <c r="G92" s="27"/>
    </row>
    <row r="93" spans="1:7" ht="13.5" customHeight="1" x14ac:dyDescent="0.2">
      <c r="A93" s="1"/>
      <c r="B93" s="7"/>
      <c r="C93" s="7"/>
      <c r="D93" s="7"/>
      <c r="E93" s="7"/>
      <c r="F93" s="7"/>
      <c r="G93" s="27"/>
    </row>
    <row r="94" spans="1:7" ht="13.5" customHeight="1" x14ac:dyDescent="0.2">
      <c r="A94" s="26"/>
      <c r="B94" s="36"/>
      <c r="C94" s="37" t="str">
        <f>Fixtures!B10</f>
        <v>Sun 10 Jun</v>
      </c>
      <c r="D94" s="37"/>
      <c r="E94" s="11" t="str">
        <f>Fixtures!E10</f>
        <v>1.30 pm</v>
      </c>
      <c r="F94" s="12" t="str">
        <f>Fixtures!F10</f>
        <v>40 Overs</v>
      </c>
      <c r="G94" s="71"/>
    </row>
    <row r="95" spans="1:7" ht="13.5" customHeight="1" x14ac:dyDescent="0.2">
      <c r="A95" s="26"/>
      <c r="B95" s="65"/>
      <c r="C95" s="66" t="s">
        <v>141</v>
      </c>
      <c r="D95" s="66"/>
      <c r="E95" s="66"/>
      <c r="F95" s="85"/>
      <c r="G95" s="71"/>
    </row>
    <row r="96" spans="1:7" ht="13.5" customHeight="1" x14ac:dyDescent="0.2">
      <c r="A96" s="26"/>
      <c r="B96" s="38"/>
      <c r="C96" s="20" t="str">
        <f>Fixtures!C10</f>
        <v>Chingford</v>
      </c>
      <c r="D96" s="20"/>
      <c r="E96" s="20"/>
      <c r="F96" s="87"/>
      <c r="G96" s="71"/>
    </row>
    <row r="97" spans="1:7" ht="13.5" customHeight="1" x14ac:dyDescent="0.2">
      <c r="A97" s="26"/>
      <c r="B97" s="35"/>
      <c r="C97" s="19" t="s">
        <v>14</v>
      </c>
      <c r="D97" s="109"/>
      <c r="E97" s="19" t="s">
        <v>15</v>
      </c>
      <c r="F97" s="110"/>
      <c r="G97" s="71"/>
    </row>
    <row r="98" spans="1:7" ht="13.5" customHeight="1" x14ac:dyDescent="0.2">
      <c r="A98" s="26"/>
      <c r="B98" s="35"/>
      <c r="C98" s="109"/>
      <c r="D98" s="109"/>
      <c r="E98" s="109"/>
      <c r="F98" s="57"/>
      <c r="G98" s="71"/>
    </row>
    <row r="99" spans="1:7" ht="13.5" customHeight="1" x14ac:dyDescent="0.2">
      <c r="A99" s="26"/>
      <c r="B99" s="35"/>
      <c r="C99" s="109"/>
      <c r="D99" s="109"/>
      <c r="E99" s="109"/>
      <c r="F99" s="110"/>
      <c r="G99" s="71"/>
    </row>
    <row r="100" spans="1:7" ht="13.5" customHeight="1" x14ac:dyDescent="0.2">
      <c r="A100" s="72"/>
      <c r="B100" s="35"/>
      <c r="C100" s="109"/>
      <c r="D100" s="109"/>
      <c r="E100" s="109"/>
      <c r="F100" s="110"/>
      <c r="G100" s="71"/>
    </row>
    <row r="101" spans="1:7" ht="13.5" customHeight="1" x14ac:dyDescent="0.2">
      <c r="A101" s="72"/>
      <c r="B101" s="35"/>
      <c r="C101" s="19" t="s">
        <v>266</v>
      </c>
      <c r="D101" s="109"/>
      <c r="E101" s="109"/>
      <c r="F101" s="110"/>
      <c r="G101" s="71"/>
    </row>
    <row r="102" spans="1:7" ht="13.5" customHeight="1" x14ac:dyDescent="0.2">
      <c r="A102" s="72"/>
      <c r="B102" s="35"/>
      <c r="C102" s="427"/>
      <c r="D102" s="427"/>
      <c r="E102" s="427"/>
      <c r="F102" s="428"/>
      <c r="G102" s="26"/>
    </row>
    <row r="103" spans="1:7" ht="13.5" customHeight="1" x14ac:dyDescent="0.2">
      <c r="A103" s="72"/>
      <c r="B103" s="35"/>
      <c r="C103" s="19" t="s">
        <v>16</v>
      </c>
      <c r="D103" s="109"/>
      <c r="E103" s="19" t="s">
        <v>4</v>
      </c>
      <c r="F103" s="82"/>
      <c r="G103" s="26"/>
    </row>
    <row r="104" spans="1:7" ht="13.5" customHeight="1" x14ac:dyDescent="0.2">
      <c r="A104" s="72"/>
      <c r="B104" s="38"/>
      <c r="C104" s="20"/>
      <c r="D104" s="20"/>
      <c r="E104" s="20" t="str">
        <f>Fixtures!G10</f>
        <v>Didn't Win</v>
      </c>
      <c r="F104" s="21"/>
      <c r="G104" s="26"/>
    </row>
    <row r="105" spans="1:7" ht="13.5" customHeight="1" x14ac:dyDescent="0.2">
      <c r="A105" s="72"/>
      <c r="B105" s="67"/>
      <c r="C105" s="67"/>
      <c r="D105" s="67"/>
      <c r="E105" s="67"/>
      <c r="F105" s="67"/>
      <c r="G105" s="31"/>
    </row>
    <row r="106" spans="1:7" ht="13.5" customHeight="1" x14ac:dyDescent="0.2">
      <c r="A106" s="72"/>
      <c r="B106" s="36"/>
      <c r="C106" s="37" t="str">
        <f>Fixtures!B11</f>
        <v>Sun 17 Jun</v>
      </c>
      <c r="D106" s="37"/>
      <c r="E106" s="11" t="str">
        <f>Fixtures!E11</f>
        <v>1.30 pm</v>
      </c>
      <c r="F106" s="12" t="str">
        <f>Fixtures!F11</f>
        <v>40 Overs</v>
      </c>
      <c r="G106" s="31"/>
    </row>
    <row r="107" spans="1:7" ht="13.5" customHeight="1" x14ac:dyDescent="0.2">
      <c r="A107" s="26"/>
      <c r="B107" s="65"/>
      <c r="C107" s="66" t="str">
        <f>Fixtures!C11</f>
        <v>North Enfield</v>
      </c>
      <c r="D107" s="66"/>
      <c r="E107" s="66"/>
      <c r="F107" s="85"/>
      <c r="G107" s="31"/>
    </row>
    <row r="108" spans="1:7" ht="13.5" customHeight="1" x14ac:dyDescent="0.2">
      <c r="A108" s="26"/>
      <c r="B108" s="38"/>
      <c r="C108" s="20" t="s">
        <v>141</v>
      </c>
      <c r="D108" s="20"/>
      <c r="E108" s="20"/>
      <c r="F108" s="87"/>
      <c r="G108" s="31"/>
    </row>
    <row r="109" spans="1:7" ht="13.5" customHeight="1" x14ac:dyDescent="0.2">
      <c r="A109" s="26"/>
      <c r="B109" s="35"/>
      <c r="C109" s="19" t="s">
        <v>14</v>
      </c>
      <c r="D109" s="17"/>
      <c r="E109" s="19" t="s">
        <v>15</v>
      </c>
      <c r="F109" s="18"/>
      <c r="G109" s="31"/>
    </row>
    <row r="110" spans="1:7" ht="13.5" customHeight="1" x14ac:dyDescent="0.2">
      <c r="A110" s="26"/>
      <c r="B110" s="35"/>
      <c r="C110" s="17"/>
      <c r="D110" s="17"/>
      <c r="E110" s="17"/>
      <c r="F110" s="18"/>
      <c r="G110" s="31"/>
    </row>
    <row r="111" spans="1:7" ht="13.5" customHeight="1" x14ac:dyDescent="0.2">
      <c r="A111" s="26"/>
      <c r="B111" s="35"/>
      <c r="C111" s="17"/>
      <c r="D111" s="17"/>
      <c r="E111" s="17"/>
      <c r="F111" s="18"/>
      <c r="G111" s="31"/>
    </row>
    <row r="112" spans="1:7" ht="13.5" customHeight="1" x14ac:dyDescent="0.2">
      <c r="A112" s="26"/>
      <c r="B112" s="35"/>
      <c r="C112" s="17"/>
      <c r="D112" s="17"/>
      <c r="E112" s="17"/>
      <c r="F112" s="18"/>
      <c r="G112" s="31"/>
    </row>
    <row r="113" spans="1:7" ht="13.5" customHeight="1" x14ac:dyDescent="0.2">
      <c r="A113" s="26"/>
      <c r="B113" s="35"/>
      <c r="C113" s="19" t="s">
        <v>266</v>
      </c>
      <c r="D113" s="17"/>
      <c r="E113" s="17"/>
      <c r="F113" s="18"/>
      <c r="G113" s="31"/>
    </row>
    <row r="114" spans="1:7" ht="13.5" customHeight="1" x14ac:dyDescent="0.2">
      <c r="A114" s="26"/>
      <c r="B114" s="35"/>
      <c r="C114" s="427"/>
      <c r="D114" s="427"/>
      <c r="E114" s="427"/>
      <c r="F114" s="428"/>
      <c r="G114" s="31"/>
    </row>
    <row r="115" spans="1:7" ht="13.5" customHeight="1" x14ac:dyDescent="0.2">
      <c r="A115" s="26"/>
      <c r="B115" s="35"/>
      <c r="C115" s="19" t="s">
        <v>16</v>
      </c>
      <c r="D115" s="17"/>
      <c r="E115" s="19" t="s">
        <v>4</v>
      </c>
      <c r="F115" s="89"/>
      <c r="G115" s="31"/>
    </row>
    <row r="116" spans="1:7" ht="13.5" customHeight="1" x14ac:dyDescent="0.2">
      <c r="A116" s="26"/>
      <c r="B116" s="38"/>
      <c r="C116" s="20"/>
      <c r="D116" s="20"/>
      <c r="E116" s="20" t="str">
        <f>Fixtures!G11</f>
        <v>Did Win</v>
      </c>
      <c r="F116" s="21"/>
      <c r="G116" s="31"/>
    </row>
    <row r="117" spans="1:7" ht="13.5" customHeight="1" x14ac:dyDescent="0.2">
      <c r="A117" s="73"/>
      <c r="B117" s="74"/>
      <c r="C117" s="74"/>
      <c r="D117" s="74"/>
      <c r="E117" s="74"/>
      <c r="F117" s="74"/>
      <c r="G117" s="31"/>
    </row>
    <row r="118" spans="1:7" ht="13.5" customHeight="1" x14ac:dyDescent="0.2">
      <c r="A118" s="73"/>
      <c r="B118" s="36"/>
      <c r="C118" s="75" t="str">
        <f>Fixtures!B12</f>
        <v>Sun 24 Jun</v>
      </c>
      <c r="D118" s="75"/>
      <c r="E118" s="76" t="str">
        <f>Fixtures!E12</f>
        <v>1.00 pm</v>
      </c>
      <c r="F118" s="55" t="str">
        <f>Fixtures!F12</f>
        <v>40 Overs</v>
      </c>
      <c r="G118" s="31"/>
    </row>
    <row r="119" spans="1:7" ht="13.5" customHeight="1" x14ac:dyDescent="0.2">
      <c r="A119" s="73"/>
      <c r="B119" s="65"/>
      <c r="C119" s="66" t="s">
        <v>141</v>
      </c>
      <c r="D119" s="66"/>
      <c r="E119" s="66"/>
      <c r="F119" s="85"/>
      <c r="G119" s="31"/>
    </row>
    <row r="120" spans="1:7" ht="13.5" customHeight="1" x14ac:dyDescent="0.2">
      <c r="A120" s="73"/>
      <c r="B120" s="38"/>
      <c r="C120" s="20" t="str">
        <f>Fixtures!C12</f>
        <v>Shepperton</v>
      </c>
      <c r="D120" s="20"/>
      <c r="E120" s="20"/>
      <c r="F120" s="87"/>
      <c r="G120" s="31"/>
    </row>
    <row r="121" spans="1:7" ht="13.5" customHeight="1" x14ac:dyDescent="0.2">
      <c r="A121" s="73"/>
      <c r="B121" s="35"/>
      <c r="C121" s="19" t="s">
        <v>14</v>
      </c>
      <c r="D121" s="17"/>
      <c r="E121" s="19" t="s">
        <v>15</v>
      </c>
      <c r="F121" s="18"/>
      <c r="G121" s="31"/>
    </row>
    <row r="122" spans="1:7" ht="13.5" customHeight="1" x14ac:dyDescent="0.2">
      <c r="A122" s="73"/>
      <c r="B122" s="35"/>
      <c r="C122" s="17"/>
      <c r="D122" s="17"/>
      <c r="E122" s="17"/>
      <c r="F122" s="18"/>
      <c r="G122" s="31"/>
    </row>
    <row r="123" spans="1:7" ht="13.5" customHeight="1" x14ac:dyDescent="0.2">
      <c r="A123" s="73"/>
      <c r="B123" s="35"/>
      <c r="C123" s="17"/>
      <c r="D123" s="17"/>
      <c r="E123" s="17"/>
      <c r="F123" s="18"/>
      <c r="G123" s="31"/>
    </row>
    <row r="124" spans="1:7" ht="13.5" customHeight="1" x14ac:dyDescent="0.2">
      <c r="A124" s="73"/>
      <c r="B124" s="35"/>
      <c r="C124" s="17"/>
      <c r="D124" s="17"/>
      <c r="E124" s="17"/>
      <c r="F124" s="18"/>
      <c r="G124" s="31"/>
    </row>
    <row r="125" spans="1:7" ht="13.5" customHeight="1" x14ac:dyDescent="0.2">
      <c r="A125" s="73"/>
      <c r="B125" s="35"/>
      <c r="C125" s="19" t="s">
        <v>266</v>
      </c>
      <c r="D125" s="17"/>
      <c r="E125" s="17"/>
      <c r="F125" s="18"/>
      <c r="G125" s="31"/>
    </row>
    <row r="126" spans="1:7" ht="13.5" customHeight="1" x14ac:dyDescent="0.2">
      <c r="A126" s="73"/>
      <c r="B126" s="35"/>
      <c r="C126" s="427"/>
      <c r="D126" s="427"/>
      <c r="E126" s="427"/>
      <c r="F126" s="428"/>
      <c r="G126" s="31"/>
    </row>
    <row r="127" spans="1:7" ht="13.5" customHeight="1" x14ac:dyDescent="0.2">
      <c r="A127" s="73"/>
      <c r="B127" s="35"/>
      <c r="C127" s="19" t="s">
        <v>16</v>
      </c>
      <c r="D127" s="17"/>
      <c r="E127" s="19" t="s">
        <v>4</v>
      </c>
      <c r="F127" s="89"/>
      <c r="G127" s="31"/>
    </row>
    <row r="128" spans="1:7" ht="13.5" customHeight="1" x14ac:dyDescent="0.2">
      <c r="A128" s="73"/>
      <c r="B128" s="38"/>
      <c r="C128" s="20"/>
      <c r="D128" s="20"/>
      <c r="E128" s="20" t="str">
        <f>Fixtures!G12</f>
        <v>Did Win</v>
      </c>
      <c r="F128" s="21"/>
      <c r="G128" s="31"/>
    </row>
    <row r="129" spans="1:11" ht="13.5" customHeight="1" x14ac:dyDescent="0.2">
      <c r="A129" s="26"/>
      <c r="B129" s="67"/>
      <c r="C129" s="67"/>
      <c r="D129" s="67"/>
      <c r="E129" s="67"/>
      <c r="F129" s="67"/>
      <c r="G129" s="31"/>
    </row>
    <row r="130" spans="1:11" ht="13.5" customHeight="1" x14ac:dyDescent="0.2">
      <c r="A130" s="26"/>
      <c r="B130" s="36"/>
      <c r="C130" s="75" t="str">
        <f>Fixtures!B13</f>
        <v>Sat 30 Jun</v>
      </c>
      <c r="D130" s="75"/>
      <c r="E130" s="76" t="str">
        <f>Fixtures!E13</f>
        <v>2.00pm</v>
      </c>
      <c r="F130" s="55" t="str">
        <f>Fixtures!F13</f>
        <v>Time Game</v>
      </c>
      <c r="G130" s="31"/>
    </row>
    <row r="131" spans="1:11" ht="13.5" customHeight="1" x14ac:dyDescent="0.2">
      <c r="A131" s="26"/>
      <c r="B131" s="65"/>
      <c r="C131" s="66" t="s">
        <v>141</v>
      </c>
      <c r="D131" s="66"/>
      <c r="E131" s="66"/>
      <c r="F131" s="85"/>
      <c r="G131" s="31"/>
    </row>
    <row r="132" spans="1:11" ht="13.5" customHeight="1" x14ac:dyDescent="0.2">
      <c r="A132" s="26"/>
      <c r="B132" s="38"/>
      <c r="C132" s="20" t="str">
        <f>Fixtures!C13</f>
        <v>Royal Household</v>
      </c>
      <c r="D132" s="20"/>
      <c r="E132" s="20"/>
      <c r="F132" s="87"/>
      <c r="G132" s="31"/>
    </row>
    <row r="133" spans="1:11" ht="13.5" customHeight="1" x14ac:dyDescent="0.2">
      <c r="A133" s="26"/>
      <c r="B133" s="35"/>
      <c r="C133" s="19" t="s">
        <v>14</v>
      </c>
      <c r="D133" s="17"/>
      <c r="E133" s="19" t="s">
        <v>15</v>
      </c>
      <c r="F133" s="18"/>
      <c r="G133" s="31"/>
    </row>
    <row r="134" spans="1:11" ht="13.5" customHeight="1" x14ac:dyDescent="0.2">
      <c r="A134" s="26"/>
      <c r="B134" s="35"/>
      <c r="C134" s="17"/>
      <c r="D134" s="17"/>
      <c r="E134" s="17"/>
      <c r="F134" s="18"/>
      <c r="G134" s="31"/>
    </row>
    <row r="135" spans="1:11" ht="13.5" customHeight="1" x14ac:dyDescent="0.2">
      <c r="A135" s="26"/>
      <c r="B135" s="35"/>
      <c r="C135" s="17"/>
      <c r="D135" s="17"/>
      <c r="E135" s="17"/>
      <c r="F135" s="18"/>
      <c r="G135" s="31"/>
    </row>
    <row r="136" spans="1:11" ht="13.5" customHeight="1" x14ac:dyDescent="0.2">
      <c r="A136" s="26"/>
      <c r="B136" s="35"/>
      <c r="C136" s="17"/>
      <c r="D136" s="17"/>
      <c r="E136" s="17"/>
      <c r="F136" s="18"/>
      <c r="G136" s="31"/>
    </row>
    <row r="137" spans="1:11" ht="13.5" customHeight="1" x14ac:dyDescent="0.2">
      <c r="A137" s="26"/>
      <c r="B137" s="35"/>
      <c r="C137" s="19" t="s">
        <v>266</v>
      </c>
      <c r="D137" s="17"/>
      <c r="E137" s="17"/>
      <c r="F137" s="18"/>
      <c r="G137" s="31"/>
    </row>
    <row r="138" spans="1:11" ht="13.5" customHeight="1" x14ac:dyDescent="0.2">
      <c r="A138" s="26"/>
      <c r="B138" s="35"/>
      <c r="C138" s="427"/>
      <c r="D138" s="427"/>
      <c r="E138" s="427"/>
      <c r="F138" s="428"/>
      <c r="G138" s="31"/>
    </row>
    <row r="139" spans="1:11" ht="13.5" customHeight="1" x14ac:dyDescent="0.2">
      <c r="A139" s="26"/>
      <c r="B139" s="35"/>
      <c r="C139" s="19" t="s">
        <v>16</v>
      </c>
      <c r="D139" s="17"/>
      <c r="E139" s="19" t="s">
        <v>4</v>
      </c>
      <c r="F139" s="89"/>
      <c r="G139" s="31"/>
    </row>
    <row r="140" spans="1:11" ht="13.5" customHeight="1" x14ac:dyDescent="0.2">
      <c r="A140" s="26"/>
      <c r="B140" s="38"/>
      <c r="C140" s="20"/>
      <c r="D140" s="20"/>
      <c r="E140" s="20" t="str">
        <f>Fixtures!G13</f>
        <v>Didn't Win</v>
      </c>
      <c r="F140" s="21"/>
      <c r="G140" s="31"/>
    </row>
    <row r="141" spans="1:11" ht="13.5" customHeight="1" x14ac:dyDescent="0.2">
      <c r="A141" s="26"/>
      <c r="B141" s="7"/>
      <c r="C141" s="7"/>
      <c r="D141" s="7"/>
      <c r="E141" s="7"/>
      <c r="F141" s="7"/>
      <c r="G141" s="31"/>
    </row>
    <row r="142" spans="1:11" ht="13.5" customHeight="1" x14ac:dyDescent="0.2">
      <c r="B142" s="36"/>
      <c r="C142" s="75" t="str">
        <f>Fixtures!B14</f>
        <v>Sun 08 Jul</v>
      </c>
      <c r="D142" s="75"/>
      <c r="E142" s="76" t="str">
        <f>Fixtures!E14</f>
        <v>1.30 pm</v>
      </c>
      <c r="F142" s="55" t="str">
        <f>Fixtures!F14</f>
        <v>40 Overs</v>
      </c>
      <c r="G142" s="31"/>
      <c r="H142" s="7"/>
      <c r="I142" s="7"/>
      <c r="J142" s="7"/>
      <c r="K142" s="7"/>
    </row>
    <row r="143" spans="1:11" ht="13.5" customHeight="1" x14ac:dyDescent="0.2">
      <c r="B143" s="65"/>
      <c r="C143" s="66" t="s">
        <v>141</v>
      </c>
      <c r="D143" s="66"/>
      <c r="E143" s="66"/>
      <c r="F143" s="85"/>
      <c r="G143" s="31"/>
      <c r="H143" s="7"/>
      <c r="I143" s="7"/>
      <c r="J143" s="7"/>
      <c r="K143" s="7"/>
    </row>
    <row r="144" spans="1:11" ht="13.5" customHeight="1" x14ac:dyDescent="0.2">
      <c r="B144" s="38"/>
      <c r="C144" s="20" t="str">
        <f>Fixtures!C14</f>
        <v>Crouch End</v>
      </c>
      <c r="D144" s="20"/>
      <c r="E144" s="20"/>
      <c r="F144" s="87"/>
      <c r="G144" s="31"/>
      <c r="H144" s="7"/>
      <c r="I144" s="7"/>
      <c r="J144" s="7"/>
      <c r="K144" s="7"/>
    </row>
    <row r="145" spans="1:11" ht="13.5" customHeight="1" x14ac:dyDescent="0.2">
      <c r="B145" s="35"/>
      <c r="C145" s="19" t="s">
        <v>14</v>
      </c>
      <c r="D145" s="17"/>
      <c r="E145" s="19" t="s">
        <v>15</v>
      </c>
      <c r="F145" s="18"/>
      <c r="G145" s="31"/>
      <c r="H145" s="7"/>
      <c r="I145" s="7"/>
      <c r="J145" s="7"/>
      <c r="K145" s="7"/>
    </row>
    <row r="146" spans="1:11" ht="13.5" customHeight="1" x14ac:dyDescent="0.2">
      <c r="B146" s="35"/>
      <c r="C146" s="17"/>
      <c r="D146" s="17"/>
      <c r="E146" s="56"/>
      <c r="F146" s="18"/>
      <c r="G146" s="31"/>
      <c r="H146" s="7"/>
      <c r="I146" s="7"/>
      <c r="J146" s="7"/>
      <c r="K146" s="7"/>
    </row>
    <row r="147" spans="1:11" ht="13.5" customHeight="1" x14ac:dyDescent="0.2">
      <c r="B147" s="35"/>
      <c r="C147" s="17"/>
      <c r="D147" s="17"/>
      <c r="E147" s="17"/>
      <c r="F147" s="18"/>
      <c r="G147" s="31"/>
      <c r="H147" s="7"/>
      <c r="I147" s="7"/>
      <c r="J147" s="7"/>
      <c r="K147" s="7"/>
    </row>
    <row r="148" spans="1:11" ht="13.5" customHeight="1" x14ac:dyDescent="0.2">
      <c r="B148" s="35"/>
      <c r="C148" s="17"/>
      <c r="D148" s="17"/>
      <c r="E148" s="17"/>
      <c r="F148" s="18"/>
      <c r="G148" s="31"/>
      <c r="H148" s="7"/>
      <c r="I148" s="7"/>
      <c r="J148" s="7"/>
      <c r="K148" s="7"/>
    </row>
    <row r="149" spans="1:11" ht="13.5" customHeight="1" x14ac:dyDescent="0.2">
      <c r="B149" s="35"/>
      <c r="C149" s="19" t="s">
        <v>266</v>
      </c>
      <c r="D149" s="17"/>
      <c r="E149" s="17"/>
      <c r="F149" s="18"/>
      <c r="G149" s="31"/>
      <c r="H149" s="7"/>
      <c r="I149" s="7"/>
      <c r="J149" s="7"/>
      <c r="K149" s="7"/>
    </row>
    <row r="150" spans="1:11" ht="13.5" customHeight="1" x14ac:dyDescent="0.2">
      <c r="B150" s="35"/>
      <c r="C150" s="427"/>
      <c r="D150" s="427"/>
      <c r="E150" s="427"/>
      <c r="F150" s="428"/>
      <c r="G150" s="31"/>
      <c r="H150" s="7"/>
      <c r="I150" s="7"/>
      <c r="J150" s="7"/>
      <c r="K150" s="7"/>
    </row>
    <row r="151" spans="1:11" ht="13.5" customHeight="1" x14ac:dyDescent="0.2">
      <c r="B151" s="35"/>
      <c r="C151" s="19" t="s">
        <v>16</v>
      </c>
      <c r="D151" s="17"/>
      <c r="E151" s="19" t="s">
        <v>4</v>
      </c>
      <c r="F151" s="89"/>
      <c r="G151" s="26"/>
      <c r="H151" s="7"/>
      <c r="I151" s="7"/>
      <c r="J151" s="7"/>
      <c r="K151" s="7"/>
    </row>
    <row r="152" spans="1:11" ht="13.5" customHeight="1" x14ac:dyDescent="0.2">
      <c r="B152" s="38"/>
      <c r="C152" s="20"/>
      <c r="D152" s="20"/>
      <c r="E152" s="20" t="str">
        <f>Fixtures!G14</f>
        <v>Did Win</v>
      </c>
      <c r="F152" s="21"/>
      <c r="G152" s="31"/>
      <c r="H152" s="7"/>
      <c r="I152" s="7"/>
      <c r="J152" s="7"/>
      <c r="K152" s="7"/>
    </row>
    <row r="153" spans="1:11" ht="13.5" customHeight="1" x14ac:dyDescent="0.2">
      <c r="B153" s="67"/>
      <c r="C153" s="67"/>
      <c r="D153" s="67"/>
      <c r="E153" s="67"/>
      <c r="F153" s="13"/>
      <c r="G153" s="31"/>
      <c r="H153" s="7"/>
      <c r="I153" s="7"/>
      <c r="J153" s="7"/>
      <c r="K153" s="7"/>
    </row>
    <row r="154" spans="1:11" ht="13.5" customHeight="1" x14ac:dyDescent="0.2">
      <c r="A154" s="23"/>
      <c r="B154" s="36"/>
      <c r="C154" s="75" t="str">
        <f>Fixtures!B15</f>
        <v>Sun 15 Jul</v>
      </c>
      <c r="D154" s="75"/>
      <c r="E154" s="76" t="str">
        <f>Fixtures!E15</f>
        <v>1.00 pm</v>
      </c>
      <c r="F154" s="55" t="str">
        <f>Fixtures!F15</f>
        <v>40 Overs</v>
      </c>
      <c r="H154" s="7"/>
      <c r="I154" s="7"/>
      <c r="J154" s="7"/>
      <c r="K154" s="7"/>
    </row>
    <row r="155" spans="1:11" ht="13.5" customHeight="1" x14ac:dyDescent="0.2">
      <c r="B155" s="65"/>
      <c r="C155" s="66" t="s">
        <v>141</v>
      </c>
      <c r="D155" s="66"/>
      <c r="E155" s="66"/>
      <c r="F155" s="85"/>
      <c r="H155" s="7"/>
      <c r="I155" s="7"/>
      <c r="J155" s="7"/>
      <c r="K155" s="7"/>
    </row>
    <row r="156" spans="1:11" ht="13.5" customHeight="1" x14ac:dyDescent="0.2">
      <c r="B156" s="38"/>
      <c r="C156" s="111" t="str">
        <f>Fixtures!C15</f>
        <v>Holtwhites Trinibis</v>
      </c>
      <c r="D156" s="20"/>
      <c r="E156" s="20"/>
      <c r="F156" s="87"/>
      <c r="H156" s="7"/>
      <c r="I156" s="7"/>
      <c r="J156" s="7"/>
      <c r="K156" s="7"/>
    </row>
    <row r="157" spans="1:11" ht="13.5" customHeight="1" x14ac:dyDescent="0.2">
      <c r="B157" s="35"/>
      <c r="C157" s="19" t="s">
        <v>14</v>
      </c>
      <c r="D157" s="17"/>
      <c r="E157" s="19" t="s">
        <v>15</v>
      </c>
      <c r="F157" s="18"/>
      <c r="H157" s="7"/>
      <c r="I157" s="7"/>
      <c r="J157" s="7"/>
      <c r="K157" s="7"/>
    </row>
    <row r="158" spans="1:11" ht="13.5" customHeight="1" x14ac:dyDescent="0.2">
      <c r="B158" s="35"/>
      <c r="C158" s="17"/>
      <c r="D158" s="17"/>
      <c r="E158" s="17"/>
      <c r="F158" s="77"/>
      <c r="H158" s="7"/>
      <c r="I158" s="7"/>
      <c r="J158" s="7"/>
      <c r="K158" s="7"/>
    </row>
    <row r="159" spans="1:11" ht="13.5" customHeight="1" x14ac:dyDescent="0.2">
      <c r="B159" s="35"/>
      <c r="C159" s="17"/>
      <c r="D159" s="17"/>
      <c r="E159" s="17"/>
      <c r="F159" s="77"/>
      <c r="H159" s="7"/>
      <c r="I159" s="7"/>
      <c r="J159" s="7"/>
      <c r="K159" s="7"/>
    </row>
    <row r="160" spans="1:11" ht="13.5" customHeight="1" x14ac:dyDescent="0.2">
      <c r="B160" s="35"/>
      <c r="C160" s="17"/>
      <c r="D160" s="17"/>
      <c r="E160" s="17"/>
      <c r="F160" s="18"/>
      <c r="H160" s="7"/>
      <c r="I160" s="7"/>
      <c r="J160" s="7"/>
      <c r="K160" s="7"/>
    </row>
    <row r="161" spans="2:11" ht="13.5" customHeight="1" x14ac:dyDescent="0.2">
      <c r="B161" s="35"/>
      <c r="C161" s="19" t="s">
        <v>266</v>
      </c>
      <c r="D161" s="17"/>
      <c r="E161" s="17"/>
      <c r="F161" s="18"/>
      <c r="H161" s="7"/>
      <c r="I161" s="7"/>
      <c r="J161" s="7"/>
      <c r="K161" s="7"/>
    </row>
    <row r="162" spans="2:11" ht="13.5" customHeight="1" x14ac:dyDescent="0.2">
      <c r="B162" s="35"/>
      <c r="C162" s="17"/>
      <c r="D162" s="17"/>
      <c r="E162" s="17"/>
      <c r="F162" s="18"/>
      <c r="H162" s="7"/>
      <c r="I162" s="7"/>
      <c r="J162" s="7"/>
      <c r="K162" s="7"/>
    </row>
    <row r="163" spans="2:11" ht="13.5" customHeight="1" x14ac:dyDescent="0.2">
      <c r="B163" s="35"/>
      <c r="C163" s="19" t="s">
        <v>16</v>
      </c>
      <c r="D163" s="17"/>
      <c r="E163" s="19" t="s">
        <v>4</v>
      </c>
      <c r="F163" s="89"/>
      <c r="H163" s="7"/>
      <c r="I163" s="7"/>
      <c r="J163" s="7"/>
      <c r="K163" s="7"/>
    </row>
    <row r="164" spans="2:11" ht="13.5" customHeight="1" x14ac:dyDescent="0.2">
      <c r="B164" s="38"/>
      <c r="C164" s="20"/>
      <c r="D164" s="20"/>
      <c r="E164" s="20" t="str">
        <f>Fixtures!G15</f>
        <v>Cancelled</v>
      </c>
      <c r="F164" s="21"/>
      <c r="H164" s="7"/>
      <c r="I164" s="7"/>
      <c r="J164" s="7"/>
      <c r="K164" s="7"/>
    </row>
    <row r="165" spans="2:11" ht="13.5" customHeight="1" x14ac:dyDescent="0.2">
      <c r="B165" s="67"/>
      <c r="C165" s="67"/>
      <c r="D165" s="67"/>
      <c r="E165" s="67"/>
      <c r="F165" s="13"/>
      <c r="H165" s="7"/>
      <c r="I165" s="7"/>
      <c r="J165" s="7"/>
      <c r="K165" s="7"/>
    </row>
    <row r="166" spans="2:11" ht="13.5" customHeight="1" x14ac:dyDescent="0.2">
      <c r="B166" s="36"/>
      <c r="C166" s="75" t="str">
        <f>Fixtures!B16</f>
        <v>Sun 22 Jul</v>
      </c>
      <c r="D166" s="75"/>
      <c r="E166" s="76" t="str">
        <f>Fixtures!E16</f>
        <v>1.30 pm</v>
      </c>
      <c r="F166" s="55" t="str">
        <f>Fixtures!F16</f>
        <v>40 Overs</v>
      </c>
      <c r="H166" s="7"/>
      <c r="I166" s="7"/>
      <c r="J166" s="7"/>
      <c r="K166" s="7"/>
    </row>
    <row r="167" spans="2:11" ht="13.5" customHeight="1" x14ac:dyDescent="0.2">
      <c r="B167" s="65"/>
      <c r="C167" s="83" t="s">
        <v>141</v>
      </c>
      <c r="D167" s="66"/>
      <c r="E167" s="66"/>
      <c r="F167" s="85"/>
      <c r="H167" s="7"/>
      <c r="I167" s="7"/>
      <c r="J167" s="7"/>
      <c r="K167" s="7"/>
    </row>
    <row r="168" spans="2:11" ht="13.5" customHeight="1" x14ac:dyDescent="0.2">
      <c r="B168" s="38"/>
      <c r="C168" s="62" t="str">
        <f>Fixtures!C16</f>
        <v>Teddington</v>
      </c>
      <c r="D168" s="20"/>
      <c r="E168" s="20"/>
      <c r="F168" s="87"/>
      <c r="H168" s="7"/>
      <c r="I168" s="7"/>
      <c r="J168" s="7"/>
      <c r="K168" s="7"/>
    </row>
    <row r="169" spans="2:11" ht="13.5" customHeight="1" x14ac:dyDescent="0.2">
      <c r="B169" s="35"/>
      <c r="C169" s="19" t="s">
        <v>14</v>
      </c>
      <c r="D169" s="17"/>
      <c r="E169" s="19" t="s">
        <v>15</v>
      </c>
      <c r="F169" s="18"/>
      <c r="H169" s="7"/>
      <c r="I169" s="7"/>
      <c r="J169" s="7"/>
      <c r="K169" s="7"/>
    </row>
    <row r="170" spans="2:11" ht="13.5" customHeight="1" x14ac:dyDescent="0.2">
      <c r="B170" s="35"/>
      <c r="C170" s="17"/>
      <c r="D170" s="17"/>
      <c r="E170" s="17"/>
      <c r="F170" s="18"/>
      <c r="H170" s="7"/>
      <c r="I170" s="7"/>
      <c r="J170" s="7"/>
      <c r="K170" s="7"/>
    </row>
    <row r="171" spans="2:11" ht="13.5" customHeight="1" x14ac:dyDescent="0.2">
      <c r="B171" s="35"/>
      <c r="C171" s="17"/>
      <c r="D171" s="17"/>
      <c r="E171" s="17"/>
      <c r="F171" s="18"/>
      <c r="H171" s="7"/>
      <c r="I171" s="7"/>
      <c r="J171" s="7"/>
      <c r="K171" s="7"/>
    </row>
    <row r="172" spans="2:11" ht="13.5" customHeight="1" x14ac:dyDescent="0.2">
      <c r="B172" s="35"/>
      <c r="C172" s="17"/>
      <c r="D172" s="17"/>
      <c r="E172" s="17"/>
      <c r="F172" s="18"/>
      <c r="H172" s="7"/>
      <c r="I172" s="7"/>
      <c r="J172" s="7"/>
      <c r="K172" s="7"/>
    </row>
    <row r="173" spans="2:11" ht="13.5" customHeight="1" x14ac:dyDescent="0.2">
      <c r="B173" s="35"/>
      <c r="C173" s="19" t="s">
        <v>266</v>
      </c>
      <c r="D173" s="17"/>
      <c r="E173" s="17"/>
      <c r="F173" s="18"/>
      <c r="H173" s="7"/>
      <c r="I173" s="7"/>
      <c r="J173" s="7"/>
      <c r="K173" s="7"/>
    </row>
    <row r="174" spans="2:11" ht="13.5" customHeight="1" x14ac:dyDescent="0.2">
      <c r="B174" s="35"/>
      <c r="C174" s="17"/>
      <c r="D174" s="17"/>
      <c r="E174" s="17"/>
      <c r="F174" s="18"/>
      <c r="H174" s="7"/>
      <c r="I174" s="7"/>
      <c r="J174" s="7"/>
      <c r="K174" s="7"/>
    </row>
    <row r="175" spans="2:11" ht="13.5" customHeight="1" x14ac:dyDescent="0.2">
      <c r="B175" s="35"/>
      <c r="C175" s="19" t="s">
        <v>16</v>
      </c>
      <c r="D175" s="17"/>
      <c r="E175" s="19" t="s">
        <v>4</v>
      </c>
      <c r="F175" s="96"/>
      <c r="H175" s="7"/>
      <c r="I175" s="7"/>
      <c r="J175" s="7"/>
      <c r="K175" s="7"/>
    </row>
    <row r="176" spans="2:11" ht="13.5" customHeight="1" x14ac:dyDescent="0.2">
      <c r="B176" s="38"/>
      <c r="C176" s="20"/>
      <c r="D176" s="20"/>
      <c r="E176" s="20" t="str">
        <f>Fixtures!G16</f>
        <v>Did Win</v>
      </c>
      <c r="F176" s="21"/>
      <c r="H176" s="7"/>
      <c r="I176" s="7"/>
      <c r="J176" s="7"/>
      <c r="K176" s="7"/>
    </row>
    <row r="177" spans="2:11" ht="13.5" customHeight="1" x14ac:dyDescent="0.2">
      <c r="B177" s="67"/>
      <c r="C177" s="67"/>
      <c r="D177" s="67"/>
      <c r="E177" s="67"/>
      <c r="F177" s="13"/>
      <c r="H177" s="7"/>
      <c r="I177" s="7"/>
      <c r="J177" s="7"/>
      <c r="K177" s="7"/>
    </row>
    <row r="178" spans="2:11" ht="13.5" customHeight="1" x14ac:dyDescent="0.2">
      <c r="B178" s="36"/>
      <c r="C178" s="75" t="str">
        <f>Fixtures!B17</f>
        <v>Sun 29 Jul</v>
      </c>
      <c r="D178" s="75"/>
      <c r="E178" s="76" t="str">
        <f>Fixtures!E17</f>
        <v>1.30 pm</v>
      </c>
      <c r="F178" s="55" t="str">
        <f>Fixtures!F17</f>
        <v>40 Overs</v>
      </c>
      <c r="H178" s="7"/>
      <c r="I178" s="7"/>
      <c r="J178" s="7"/>
      <c r="K178" s="7"/>
    </row>
    <row r="179" spans="2:11" ht="13.5" customHeight="1" x14ac:dyDescent="0.2">
      <c r="B179" s="65"/>
      <c r="C179" s="115" t="str">
        <f>Fixtures!C17</f>
        <v>Old Wimbledonians</v>
      </c>
      <c r="D179" s="66"/>
      <c r="E179" s="66"/>
      <c r="F179" s="85"/>
      <c r="H179" s="7"/>
      <c r="I179" s="7"/>
      <c r="J179" s="7"/>
      <c r="K179" s="7"/>
    </row>
    <row r="180" spans="2:11" ht="13.5" customHeight="1" x14ac:dyDescent="0.2">
      <c r="B180" s="38"/>
      <c r="C180" s="62" t="s">
        <v>141</v>
      </c>
      <c r="D180" s="20"/>
      <c r="E180" s="20"/>
      <c r="F180" s="87"/>
      <c r="H180" s="7"/>
      <c r="I180" s="7"/>
      <c r="J180" s="7"/>
      <c r="K180" s="7"/>
    </row>
    <row r="181" spans="2:11" ht="13.5" customHeight="1" x14ac:dyDescent="0.2">
      <c r="B181" s="35"/>
      <c r="C181" s="19" t="s">
        <v>14</v>
      </c>
      <c r="D181" s="101"/>
      <c r="E181" s="19" t="s">
        <v>15</v>
      </c>
      <c r="F181" s="102"/>
      <c r="H181" s="7"/>
      <c r="I181" s="7"/>
      <c r="J181" s="7"/>
      <c r="K181" s="7"/>
    </row>
    <row r="182" spans="2:11" ht="13.5" customHeight="1" x14ac:dyDescent="0.2">
      <c r="B182" s="35"/>
      <c r="C182" s="101"/>
      <c r="D182" s="101"/>
      <c r="E182" s="101"/>
      <c r="F182" s="102"/>
      <c r="H182" s="7"/>
      <c r="I182" s="7"/>
      <c r="J182" s="7"/>
      <c r="K182" s="7"/>
    </row>
    <row r="183" spans="2:11" ht="13.5" customHeight="1" x14ac:dyDescent="0.2">
      <c r="B183" s="35"/>
      <c r="C183" s="101"/>
      <c r="D183" s="101"/>
      <c r="E183" s="101"/>
      <c r="F183" s="102"/>
      <c r="H183" s="7"/>
      <c r="I183" s="7"/>
      <c r="J183" s="7"/>
      <c r="K183" s="7"/>
    </row>
    <row r="184" spans="2:11" ht="13.5" customHeight="1" x14ac:dyDescent="0.2">
      <c r="B184" s="35"/>
      <c r="C184" s="101"/>
      <c r="D184" s="101"/>
      <c r="E184" s="101"/>
      <c r="F184" s="102"/>
      <c r="H184" s="7"/>
      <c r="I184" s="7"/>
      <c r="J184" s="7"/>
      <c r="K184" s="7"/>
    </row>
    <row r="185" spans="2:11" ht="13.5" customHeight="1" x14ac:dyDescent="0.2">
      <c r="B185" s="35"/>
      <c r="C185" s="19" t="s">
        <v>266</v>
      </c>
      <c r="D185" s="101"/>
      <c r="E185" s="101"/>
      <c r="F185" s="102"/>
      <c r="H185" s="7"/>
      <c r="I185" s="7"/>
      <c r="J185" s="7"/>
      <c r="K185" s="7"/>
    </row>
    <row r="186" spans="2:11" ht="13.5" customHeight="1" x14ac:dyDescent="0.2">
      <c r="B186" s="35"/>
      <c r="C186" s="101"/>
      <c r="D186" s="101"/>
      <c r="E186" s="101"/>
      <c r="F186" s="102"/>
      <c r="H186" s="7"/>
      <c r="I186" s="7"/>
      <c r="J186" s="7"/>
      <c r="K186" s="7"/>
    </row>
    <row r="187" spans="2:11" ht="13.5" customHeight="1" x14ac:dyDescent="0.2">
      <c r="B187" s="35"/>
      <c r="C187" s="19" t="s">
        <v>16</v>
      </c>
      <c r="D187" s="101"/>
      <c r="E187" s="19" t="s">
        <v>4</v>
      </c>
      <c r="F187" s="96"/>
      <c r="H187" s="7"/>
      <c r="I187" s="7"/>
      <c r="J187" s="7"/>
      <c r="K187" s="7"/>
    </row>
    <row r="188" spans="2:11" ht="13.5" customHeight="1" x14ac:dyDescent="0.2">
      <c r="B188" s="38"/>
      <c r="C188" s="20"/>
      <c r="D188" s="20"/>
      <c r="E188" s="20" t="str">
        <f>Fixtures!G17</f>
        <v>Cancelled</v>
      </c>
      <c r="F188" s="21"/>
      <c r="H188" s="7"/>
      <c r="I188" s="7"/>
      <c r="J188" s="7"/>
      <c r="K188" s="7"/>
    </row>
    <row r="189" spans="2:11" ht="13.5" customHeight="1" x14ac:dyDescent="0.2">
      <c r="B189" s="67"/>
      <c r="C189" s="67"/>
      <c r="D189" s="67"/>
      <c r="E189" s="67"/>
      <c r="F189" s="13"/>
      <c r="H189" s="7"/>
      <c r="I189" s="7"/>
      <c r="J189" s="7"/>
      <c r="K189" s="7"/>
    </row>
    <row r="190" spans="2:11" ht="13.5" customHeight="1" x14ac:dyDescent="0.2">
      <c r="B190" s="36"/>
      <c r="C190" s="75" t="str">
        <f>Fixtures!B18</f>
        <v>Sun 05 Aug</v>
      </c>
      <c r="D190" s="75"/>
      <c r="E190" s="76" t="str">
        <f>Fixtures!E18</f>
        <v>1.30pm</v>
      </c>
      <c r="F190" s="55" t="str">
        <f>Fixtures!F18</f>
        <v>40 Overs</v>
      </c>
      <c r="H190" s="7"/>
      <c r="I190" s="7"/>
      <c r="J190" s="7"/>
      <c r="K190" s="7"/>
    </row>
    <row r="191" spans="2:11" ht="13.5" customHeight="1" x14ac:dyDescent="0.2">
      <c r="B191" s="65"/>
      <c r="C191" s="114" t="str">
        <f>Fixtures!C18</f>
        <v>Shepherd's Bush</v>
      </c>
      <c r="D191" s="66"/>
      <c r="E191" s="66"/>
      <c r="F191" s="85"/>
    </row>
    <row r="192" spans="2:11" ht="13.5" customHeight="1" x14ac:dyDescent="0.2">
      <c r="B192" s="38"/>
      <c r="C192" s="62" t="s">
        <v>141</v>
      </c>
      <c r="D192" s="20"/>
      <c r="E192" s="20"/>
      <c r="F192" s="87"/>
    </row>
    <row r="193" spans="2:7" ht="13.5" customHeight="1" x14ac:dyDescent="0.2">
      <c r="B193" s="35"/>
      <c r="C193" s="19" t="s">
        <v>14</v>
      </c>
      <c r="D193" s="17"/>
      <c r="E193" s="19" t="s">
        <v>15</v>
      </c>
      <c r="F193" s="18"/>
    </row>
    <row r="194" spans="2:7" ht="13.5" customHeight="1" x14ac:dyDescent="0.2">
      <c r="B194" s="35"/>
      <c r="C194" s="17"/>
      <c r="D194" s="17"/>
      <c r="E194" s="17"/>
      <c r="F194" s="18"/>
    </row>
    <row r="195" spans="2:7" ht="13.5" customHeight="1" x14ac:dyDescent="0.2">
      <c r="B195" s="35"/>
      <c r="C195" s="17"/>
      <c r="D195" s="17"/>
      <c r="E195" s="17"/>
      <c r="F195" s="18"/>
    </row>
    <row r="196" spans="2:7" ht="13.5" customHeight="1" x14ac:dyDescent="0.2">
      <c r="B196" s="35"/>
      <c r="C196" s="17"/>
      <c r="D196" s="17"/>
      <c r="E196" s="17"/>
      <c r="F196" s="18"/>
    </row>
    <row r="197" spans="2:7" ht="13.5" customHeight="1" x14ac:dyDescent="0.2">
      <c r="B197" s="35"/>
      <c r="C197" s="19" t="s">
        <v>266</v>
      </c>
      <c r="D197" s="17"/>
      <c r="E197" s="17"/>
      <c r="F197" s="18"/>
    </row>
    <row r="198" spans="2:7" ht="13.5" customHeight="1" x14ac:dyDescent="0.2">
      <c r="B198" s="35"/>
      <c r="C198" s="17"/>
      <c r="D198" s="17"/>
      <c r="E198" s="17"/>
      <c r="F198" s="18"/>
    </row>
    <row r="199" spans="2:7" ht="13.5" customHeight="1" x14ac:dyDescent="0.2">
      <c r="B199" s="35"/>
      <c r="C199" s="19" t="s">
        <v>16</v>
      </c>
      <c r="D199" s="17"/>
      <c r="E199" s="19" t="s">
        <v>4</v>
      </c>
      <c r="F199" s="18"/>
    </row>
    <row r="200" spans="2:7" ht="13.5" customHeight="1" x14ac:dyDescent="0.2">
      <c r="B200" s="38"/>
      <c r="C200" s="20"/>
      <c r="D200" s="20"/>
      <c r="E200" s="20" t="str">
        <f>Fixtures!G18</f>
        <v>Didn't Win</v>
      </c>
      <c r="F200" s="21"/>
    </row>
    <row r="201" spans="2:7" ht="13.5" customHeight="1" x14ac:dyDescent="0.2"/>
    <row r="202" spans="2:7" ht="13.5" customHeight="1" x14ac:dyDescent="0.2">
      <c r="B202" s="36"/>
      <c r="C202" s="75" t="str">
        <f>Fixtures!B19</f>
        <v>Sun 12 Aug</v>
      </c>
      <c r="D202" s="75"/>
      <c r="E202" s="76" t="str">
        <f>Fixtures!E19</f>
        <v>1.00 pm</v>
      </c>
      <c r="F202" s="55" t="str">
        <f>Fixtures!F19</f>
        <v>40 Overs</v>
      </c>
    </row>
    <row r="203" spans="2:7" ht="13.5" customHeight="1" x14ac:dyDescent="0.2">
      <c r="B203" s="65"/>
      <c r="C203" s="83" t="s">
        <v>141</v>
      </c>
      <c r="D203" s="66"/>
      <c r="E203" s="66"/>
      <c r="F203" s="85"/>
      <c r="G203" s="10"/>
    </row>
    <row r="204" spans="2:7" ht="13.5" customHeight="1" x14ac:dyDescent="0.2">
      <c r="B204" s="38"/>
      <c r="C204" s="97" t="str">
        <f>Fixtures!C19</f>
        <v>Missenden Misfits</v>
      </c>
      <c r="D204" s="20"/>
      <c r="E204" s="20"/>
      <c r="F204" s="87"/>
      <c r="G204" s="10"/>
    </row>
    <row r="205" spans="2:7" ht="13.5" customHeight="1" x14ac:dyDescent="0.2">
      <c r="B205" s="35"/>
      <c r="C205" s="59" t="s">
        <v>14</v>
      </c>
      <c r="D205" s="17"/>
      <c r="E205" s="19" t="s">
        <v>15</v>
      </c>
      <c r="F205" s="57"/>
    </row>
    <row r="206" spans="2:7" ht="13.5" customHeight="1" x14ac:dyDescent="0.2">
      <c r="B206" s="35"/>
      <c r="C206" s="17"/>
      <c r="D206" s="17"/>
      <c r="E206" s="17"/>
      <c r="F206" s="18"/>
    </row>
    <row r="207" spans="2:7" ht="13.5" customHeight="1" x14ac:dyDescent="0.2">
      <c r="B207" s="35"/>
      <c r="C207" s="17"/>
      <c r="D207" s="17"/>
      <c r="E207" s="17"/>
      <c r="F207" s="18"/>
    </row>
    <row r="208" spans="2:7" ht="13.5" customHeight="1" x14ac:dyDescent="0.2">
      <c r="B208" s="35"/>
      <c r="C208" s="17"/>
      <c r="D208" s="17"/>
      <c r="E208" s="17"/>
      <c r="F208" s="18"/>
    </row>
    <row r="209" spans="2:6" ht="13.5" customHeight="1" x14ac:dyDescent="0.2">
      <c r="B209" s="35"/>
      <c r="C209" s="19" t="s">
        <v>266</v>
      </c>
      <c r="D209" s="17"/>
      <c r="E209" s="17"/>
      <c r="F209" s="18"/>
    </row>
    <row r="210" spans="2:6" ht="13.5" customHeight="1" x14ac:dyDescent="0.2">
      <c r="B210" s="35"/>
      <c r="C210" s="17"/>
      <c r="D210" s="17"/>
      <c r="E210" s="17"/>
      <c r="F210" s="18"/>
    </row>
    <row r="211" spans="2:6" ht="13.5" customHeight="1" x14ac:dyDescent="0.2">
      <c r="B211" s="35"/>
      <c r="C211" s="19" t="s">
        <v>16</v>
      </c>
      <c r="D211" s="17"/>
      <c r="E211" s="19" t="s">
        <v>4</v>
      </c>
      <c r="F211" s="82"/>
    </row>
    <row r="212" spans="2:6" ht="13.5" customHeight="1" x14ac:dyDescent="0.2">
      <c r="B212" s="38"/>
      <c r="C212" s="20"/>
      <c r="D212" s="20"/>
      <c r="E212" s="20" t="str">
        <f>Fixtures!G19</f>
        <v>Did Win</v>
      </c>
      <c r="F212" s="21"/>
    </row>
    <row r="213" spans="2:6" ht="13.5" customHeight="1" x14ac:dyDescent="0.2">
      <c r="B213" s="34"/>
      <c r="C213" s="68"/>
      <c r="D213" s="68"/>
      <c r="E213" s="69"/>
      <c r="F213" s="70"/>
    </row>
    <row r="214" spans="2:6" ht="13.5" customHeight="1" x14ac:dyDescent="0.2">
      <c r="B214" s="36"/>
      <c r="C214" s="75" t="str">
        <f>Fixtures!B20</f>
        <v>Sat 18 Aug</v>
      </c>
      <c r="D214" s="75"/>
      <c r="E214" s="76" t="str">
        <f>Fixtures!E20</f>
        <v>12.00 pm</v>
      </c>
      <c r="F214" s="55" t="str">
        <f>Fixtures!F20</f>
        <v>40 Overs</v>
      </c>
    </row>
    <row r="215" spans="2:6" ht="13.5" customHeight="1" x14ac:dyDescent="0.2">
      <c r="B215" s="65"/>
      <c r="C215" s="108" t="str">
        <f>Fixtures!C20</f>
        <v>Post Modernists</v>
      </c>
      <c r="D215" s="66"/>
      <c r="E215" s="66"/>
      <c r="F215" s="85"/>
    </row>
    <row r="216" spans="2:6" ht="13.5" customHeight="1" x14ac:dyDescent="0.2">
      <c r="B216" s="38"/>
      <c r="C216" s="97" t="s">
        <v>141</v>
      </c>
      <c r="D216" s="20"/>
      <c r="E216" s="20"/>
      <c r="F216" s="87"/>
    </row>
    <row r="217" spans="2:6" ht="13.5" customHeight="1" x14ac:dyDescent="0.2">
      <c r="B217" s="35"/>
      <c r="C217" s="59" t="s">
        <v>14</v>
      </c>
      <c r="D217" s="17"/>
      <c r="E217" s="19" t="s">
        <v>15</v>
      </c>
      <c r="F217" s="57"/>
    </row>
    <row r="218" spans="2:6" ht="13.5" customHeight="1" x14ac:dyDescent="0.2">
      <c r="B218" s="35"/>
      <c r="C218" s="17"/>
      <c r="D218" s="17"/>
      <c r="E218" s="17"/>
      <c r="F218" s="18"/>
    </row>
    <row r="219" spans="2:6" ht="13.5" customHeight="1" x14ac:dyDescent="0.2">
      <c r="B219" s="35"/>
      <c r="C219" s="17"/>
      <c r="D219" s="17"/>
      <c r="E219" s="17"/>
      <c r="F219" s="18"/>
    </row>
    <row r="220" spans="2:6" ht="13.5" customHeight="1" x14ac:dyDescent="0.2">
      <c r="B220" s="35"/>
      <c r="C220" s="107"/>
      <c r="D220" s="17"/>
      <c r="E220" s="17"/>
      <c r="F220" s="18"/>
    </row>
    <row r="221" spans="2:6" ht="13.5" customHeight="1" x14ac:dyDescent="0.2">
      <c r="B221" s="35"/>
      <c r="C221" s="19" t="s">
        <v>266</v>
      </c>
      <c r="D221" s="17"/>
      <c r="E221" s="17"/>
      <c r="F221" s="18"/>
    </row>
    <row r="222" spans="2:6" ht="13.5" customHeight="1" x14ac:dyDescent="0.2">
      <c r="B222" s="35"/>
      <c r="C222" s="17"/>
      <c r="D222" s="17"/>
      <c r="E222" s="17"/>
      <c r="F222" s="18"/>
    </row>
    <row r="223" spans="2:6" ht="13.5" customHeight="1" x14ac:dyDescent="0.2">
      <c r="B223" s="35"/>
      <c r="C223" s="19" t="s">
        <v>16</v>
      </c>
      <c r="D223" s="17"/>
      <c r="E223" s="19" t="s">
        <v>4</v>
      </c>
      <c r="F223" s="82"/>
    </row>
    <row r="224" spans="2:6" ht="13.5" customHeight="1" x14ac:dyDescent="0.2">
      <c r="B224" s="38"/>
      <c r="C224" s="20"/>
      <c r="D224" s="20"/>
      <c r="E224" s="20" t="str">
        <f>Fixtures!G20</f>
        <v>Did Win</v>
      </c>
      <c r="F224" s="21"/>
    </row>
    <row r="225" spans="2:7" ht="13.5" customHeight="1" x14ac:dyDescent="0.2">
      <c r="B225" s="34"/>
      <c r="C225" s="68"/>
      <c r="D225" s="68"/>
      <c r="E225" s="69"/>
      <c r="F225" s="70"/>
      <c r="G225" s="10"/>
    </row>
    <row r="226" spans="2:7" ht="13.5" customHeight="1" x14ac:dyDescent="0.2">
      <c r="B226" s="36"/>
      <c r="C226" s="75" t="str">
        <f>Fixtures!B21</f>
        <v>Sun 19 Aug</v>
      </c>
      <c r="D226" s="75"/>
      <c r="E226" s="76" t="str">
        <f>Fixtures!E21</f>
        <v>12.00 pm</v>
      </c>
      <c r="F226" s="55" t="str">
        <f>Fixtures!F21</f>
        <v>40 Overs</v>
      </c>
    </row>
    <row r="227" spans="2:7" ht="13.5" customHeight="1" x14ac:dyDescent="0.2">
      <c r="B227" s="65"/>
      <c r="C227" s="100" t="s">
        <v>141</v>
      </c>
      <c r="D227" s="66"/>
      <c r="E227" s="66"/>
      <c r="F227" s="85"/>
    </row>
    <row r="228" spans="2:7" ht="13.5" customHeight="1" x14ac:dyDescent="0.2">
      <c r="B228" s="38"/>
      <c r="C228" s="97" t="str">
        <f>Fixtures!C21</f>
        <v>Nevill Holt</v>
      </c>
      <c r="D228" s="20"/>
      <c r="E228" s="20"/>
      <c r="F228" s="87"/>
    </row>
    <row r="229" spans="2:7" ht="13.5" customHeight="1" x14ac:dyDescent="0.2">
      <c r="B229" s="35"/>
      <c r="C229" s="59" t="s">
        <v>14</v>
      </c>
      <c r="D229" s="17"/>
      <c r="E229" s="19" t="s">
        <v>15</v>
      </c>
      <c r="F229" s="57"/>
    </row>
    <row r="230" spans="2:7" ht="13.5" customHeight="1" x14ac:dyDescent="0.2">
      <c r="B230" s="35"/>
      <c r="C230" s="17"/>
      <c r="D230" s="17"/>
      <c r="E230" s="17"/>
      <c r="F230" s="18"/>
    </row>
    <row r="231" spans="2:7" ht="13.5" customHeight="1" x14ac:dyDescent="0.2">
      <c r="B231" s="35"/>
      <c r="C231" s="17"/>
      <c r="D231" s="17"/>
      <c r="E231" s="17"/>
      <c r="F231" s="18"/>
    </row>
    <row r="232" spans="2:7" ht="13.5" customHeight="1" x14ac:dyDescent="0.2">
      <c r="B232" s="35"/>
      <c r="C232" s="17"/>
      <c r="D232" s="17"/>
      <c r="E232" s="17"/>
      <c r="F232" s="18"/>
    </row>
    <row r="233" spans="2:7" ht="13.5" customHeight="1" x14ac:dyDescent="0.2">
      <c r="B233" s="35"/>
      <c r="C233" s="19" t="s">
        <v>266</v>
      </c>
      <c r="D233" s="17"/>
      <c r="E233" s="17"/>
      <c r="F233" s="18"/>
    </row>
    <row r="234" spans="2:7" ht="13.5" customHeight="1" x14ac:dyDescent="0.2">
      <c r="B234" s="35"/>
      <c r="C234" s="17"/>
      <c r="D234" s="17"/>
      <c r="E234" s="17"/>
      <c r="F234" s="18"/>
    </row>
    <row r="235" spans="2:7" ht="13.5" customHeight="1" x14ac:dyDescent="0.2">
      <c r="B235" s="35"/>
      <c r="C235" s="19" t="s">
        <v>16</v>
      </c>
      <c r="D235" s="17"/>
      <c r="E235" s="19" t="s">
        <v>4</v>
      </c>
      <c r="F235" s="82"/>
    </row>
    <row r="236" spans="2:7" ht="13.5" customHeight="1" x14ac:dyDescent="0.2">
      <c r="B236" s="38"/>
      <c r="C236" s="20"/>
      <c r="D236" s="20"/>
      <c r="E236" s="20" t="str">
        <f>Fixtures!G21</f>
        <v>Didn't Win</v>
      </c>
      <c r="F236" s="21"/>
    </row>
    <row r="237" spans="2:7" ht="13.5" customHeight="1" x14ac:dyDescent="0.2"/>
    <row r="238" spans="2:7" ht="13.5" customHeight="1" x14ac:dyDescent="0.2">
      <c r="B238" s="36"/>
      <c r="C238" s="75" t="str">
        <f>Fixtures!B22</f>
        <v>Sun 26 Aug</v>
      </c>
      <c r="D238" s="75"/>
      <c r="E238" s="76" t="str">
        <f>Fixtures!E22</f>
        <v>1.30 pm</v>
      </c>
      <c r="F238" s="55" t="str">
        <f>Fixtures!F22</f>
        <v>Time Game</v>
      </c>
    </row>
    <row r="239" spans="2:7" ht="13.5" customHeight="1" x14ac:dyDescent="0.2">
      <c r="B239" s="65"/>
      <c r="C239" s="83" t="str">
        <f>Fixtures!C22</f>
        <v>Wembley</v>
      </c>
      <c r="D239" s="66"/>
      <c r="E239" s="66"/>
      <c r="F239" s="85"/>
    </row>
    <row r="240" spans="2:7" ht="13.5" customHeight="1" x14ac:dyDescent="0.2">
      <c r="B240" s="38"/>
      <c r="C240" s="97" t="s">
        <v>141</v>
      </c>
      <c r="D240" s="20"/>
      <c r="E240" s="20"/>
      <c r="F240" s="87"/>
    </row>
    <row r="241" spans="2:6" ht="13.5" customHeight="1" x14ac:dyDescent="0.2">
      <c r="B241" s="65"/>
      <c r="C241" s="98" t="s">
        <v>14</v>
      </c>
      <c r="D241" s="66"/>
      <c r="E241" s="99" t="s">
        <v>15</v>
      </c>
      <c r="F241" s="85"/>
    </row>
    <row r="242" spans="2:6" ht="13.5" customHeight="1" x14ac:dyDescent="0.2">
      <c r="B242" s="35"/>
      <c r="C242" s="17"/>
      <c r="D242" s="17"/>
      <c r="E242" s="17"/>
      <c r="F242" s="18"/>
    </row>
    <row r="243" spans="2:6" ht="13.5" customHeight="1" x14ac:dyDescent="0.2">
      <c r="B243" s="35"/>
      <c r="C243" s="17"/>
      <c r="D243" s="17"/>
      <c r="E243" s="17"/>
      <c r="F243" s="18"/>
    </row>
    <row r="244" spans="2:6" ht="13.5" customHeight="1" x14ac:dyDescent="0.2">
      <c r="B244" s="35"/>
      <c r="C244" s="17"/>
      <c r="D244" s="17"/>
      <c r="E244" s="17"/>
      <c r="F244" s="18"/>
    </row>
    <row r="245" spans="2:6" ht="13.5" customHeight="1" x14ac:dyDescent="0.2">
      <c r="B245" s="35"/>
      <c r="C245" s="19" t="s">
        <v>266</v>
      </c>
      <c r="D245" s="17"/>
      <c r="E245" s="17"/>
      <c r="F245" s="18"/>
    </row>
    <row r="246" spans="2:6" ht="13.5" customHeight="1" x14ac:dyDescent="0.2">
      <c r="B246" s="35"/>
      <c r="C246" s="17"/>
      <c r="D246" s="17"/>
      <c r="E246" s="17"/>
      <c r="F246" s="18"/>
    </row>
    <row r="247" spans="2:6" ht="13.5" customHeight="1" x14ac:dyDescent="0.2">
      <c r="B247" s="35"/>
      <c r="C247" s="19" t="s">
        <v>16</v>
      </c>
      <c r="D247" s="17"/>
      <c r="E247" s="19" t="s">
        <v>4</v>
      </c>
      <c r="F247" s="82"/>
    </row>
    <row r="248" spans="2:6" ht="13.5" customHeight="1" x14ac:dyDescent="0.2">
      <c r="B248" s="38"/>
      <c r="C248" s="20"/>
      <c r="D248" s="20"/>
      <c r="E248" s="20">
        <f>Fixtures!G22</f>
        <v>0</v>
      </c>
      <c r="F248" s="21"/>
    </row>
    <row r="250" spans="2:6" ht="12.6" customHeight="1" x14ac:dyDescent="0.2">
      <c r="B250" s="36"/>
      <c r="C250" s="75" t="e">
        <f>Fixtures!#REF!</f>
        <v>#REF!</v>
      </c>
      <c r="D250" s="75"/>
      <c r="E250" s="76" t="e">
        <f>Fixtures!#REF!</f>
        <v>#REF!</v>
      </c>
      <c r="F250" s="55" t="e">
        <f>Fixtures!#REF!</f>
        <v>#REF!</v>
      </c>
    </row>
    <row r="251" spans="2:6" ht="12.6" customHeight="1" x14ac:dyDescent="0.2">
      <c r="B251" s="65"/>
      <c r="C251" s="83" t="e">
        <f>Fixtures!#REF!</f>
        <v>#REF!</v>
      </c>
      <c r="D251" s="66"/>
      <c r="E251" s="66"/>
      <c r="F251" s="85"/>
    </row>
    <row r="252" spans="2:6" ht="12.6" customHeight="1" x14ac:dyDescent="0.2">
      <c r="B252" s="38"/>
      <c r="C252" s="97" t="s">
        <v>141</v>
      </c>
      <c r="D252" s="20"/>
      <c r="E252" s="20"/>
      <c r="F252" s="87"/>
    </row>
    <row r="253" spans="2:6" ht="12.6" customHeight="1" x14ac:dyDescent="0.2">
      <c r="B253" s="65"/>
      <c r="C253" s="98" t="s">
        <v>14</v>
      </c>
      <c r="D253" s="66"/>
      <c r="E253" s="99" t="s">
        <v>15</v>
      </c>
      <c r="F253" s="85"/>
    </row>
    <row r="254" spans="2:6" ht="12.6" customHeight="1" x14ac:dyDescent="0.2">
      <c r="B254" s="35"/>
      <c r="C254" s="112"/>
      <c r="D254" s="112"/>
      <c r="E254" s="112"/>
      <c r="F254" s="113"/>
    </row>
    <row r="255" spans="2:6" ht="12.6" customHeight="1" x14ac:dyDescent="0.2">
      <c r="B255" s="35"/>
      <c r="C255" s="112"/>
      <c r="D255" s="112"/>
      <c r="E255" s="112"/>
      <c r="F255" s="113"/>
    </row>
    <row r="256" spans="2:6" ht="12.6" customHeight="1" x14ac:dyDescent="0.2">
      <c r="B256" s="35"/>
      <c r="C256" s="112"/>
      <c r="D256" s="112"/>
      <c r="E256" s="112"/>
      <c r="F256" s="113"/>
    </row>
    <row r="257" spans="2:6" ht="12.6" customHeight="1" x14ac:dyDescent="0.2">
      <c r="B257" s="35"/>
      <c r="C257" s="19" t="s">
        <v>266</v>
      </c>
      <c r="D257" s="112"/>
      <c r="E257" s="112"/>
      <c r="F257" s="113"/>
    </row>
    <row r="258" spans="2:6" ht="12.6" customHeight="1" x14ac:dyDescent="0.2">
      <c r="B258" s="35"/>
      <c r="C258" s="112"/>
      <c r="D258" s="112"/>
      <c r="E258" s="112"/>
      <c r="F258" s="113"/>
    </row>
    <row r="259" spans="2:6" ht="12.6" customHeight="1" x14ac:dyDescent="0.2">
      <c r="B259" s="35"/>
      <c r="C259" s="19" t="s">
        <v>16</v>
      </c>
      <c r="D259" s="112"/>
      <c r="E259" s="19" t="s">
        <v>4</v>
      </c>
      <c r="F259" s="82"/>
    </row>
    <row r="260" spans="2:6" ht="12.6" customHeight="1" x14ac:dyDescent="0.2">
      <c r="B260" s="38"/>
      <c r="C260" s="20"/>
      <c r="D260" s="20"/>
      <c r="E260" s="20" t="e">
        <f>Fixtures!#REF!</f>
        <v>#REF!</v>
      </c>
      <c r="F260" s="21"/>
    </row>
  </sheetData>
  <mergeCells count="13">
    <mergeCell ref="C150:F150"/>
    <mergeCell ref="C138:F138"/>
    <mergeCell ref="C126:F126"/>
    <mergeCell ref="C114:F114"/>
    <mergeCell ref="B2:D2"/>
    <mergeCell ref="C78:F78"/>
    <mergeCell ref="C18:F18"/>
    <mergeCell ref="C54:F54"/>
    <mergeCell ref="C66:F66"/>
    <mergeCell ref="C30:F30"/>
    <mergeCell ref="C42:F42"/>
    <mergeCell ref="C90:F90"/>
    <mergeCell ref="C102:F102"/>
  </mergeCells>
  <phoneticPr fontId="9" type="noConversion"/>
  <pageMargins left="0.75" right="0.75" top="1" bottom="1" header="0.5" footer="0.5"/>
  <pageSetup paperSize="9" scale="20" orientation="portrait" horizontalDpi="4294967293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Y268"/>
  <sheetViews>
    <sheetView zoomScaleNormal="100" workbookViewId="0">
      <pane xSplit="17" ySplit="5" topLeftCell="R6" activePane="bottomRight" state="frozen"/>
      <selection activeCell="A97" sqref="A97:F108"/>
      <selection pane="topRight" activeCell="A97" sqref="A97:F108"/>
      <selection pane="bottomLeft" activeCell="A97" sqref="A97:F108"/>
      <selection pane="bottomRight" activeCell="A127" sqref="A127"/>
    </sheetView>
  </sheetViews>
  <sheetFormatPr defaultColWidth="9.140625" defaultRowHeight="12.75" x14ac:dyDescent="0.2"/>
  <cols>
    <col min="1" max="1" width="1.85546875" style="119" customWidth="1"/>
    <col min="2" max="2" width="23.5703125" style="119" customWidth="1"/>
    <col min="3" max="3" width="6.5703125" style="119" bestFit="1" customWidth="1"/>
    <col min="4" max="7" width="4.28515625" style="119" customWidth="1"/>
    <col min="8" max="8" width="3.5703125" style="119" customWidth="1"/>
    <col min="9" max="9" width="1.140625" style="119" customWidth="1"/>
    <col min="10" max="10" width="5.42578125" style="119" bestFit="1" customWidth="1"/>
    <col min="11" max="11" width="1.140625" style="119" customWidth="1"/>
    <col min="12" max="12" width="1" style="119" customWidth="1"/>
    <col min="13" max="13" width="6.42578125" style="119" customWidth="1"/>
    <col min="14" max="14" width="1" style="119" customWidth="1"/>
    <col min="15" max="15" width="6.28515625" style="119" customWidth="1"/>
    <col min="16" max="16" width="5.7109375" style="119" customWidth="1"/>
    <col min="17" max="17" width="1" style="119" customWidth="1"/>
    <col min="18" max="18" width="8" style="119" customWidth="1"/>
    <col min="19" max="19" width="2.42578125" style="119" customWidth="1"/>
    <col min="20" max="20" width="0.42578125" style="239" customWidth="1"/>
    <col min="21" max="21" width="3.5703125" style="119" customWidth="1"/>
    <col min="22" max="22" width="2.42578125" style="119" customWidth="1"/>
    <col min="23" max="23" width="0.42578125" style="239" customWidth="1"/>
    <col min="24" max="24" width="3.5703125" style="119" customWidth="1"/>
    <col min="25" max="25" width="2.42578125" style="119" customWidth="1"/>
    <col min="26" max="26" width="0.42578125" style="239" customWidth="1"/>
    <col min="27" max="27" width="3.5703125" style="119" customWidth="1"/>
    <col min="28" max="28" width="2.42578125" style="119" customWidth="1"/>
    <col min="29" max="29" width="0.42578125" style="239" customWidth="1"/>
    <col min="30" max="30" width="3.5703125" style="119" customWidth="1"/>
    <col min="31" max="31" width="2.42578125" style="119" customWidth="1"/>
    <col min="32" max="32" width="0.42578125" style="239" customWidth="1"/>
    <col min="33" max="33" width="3.5703125" style="119" customWidth="1"/>
    <col min="34" max="34" width="2.42578125" style="119" customWidth="1"/>
    <col min="35" max="35" width="0.42578125" style="239" customWidth="1"/>
    <col min="36" max="36" width="3.5703125" style="119" customWidth="1"/>
    <col min="37" max="37" width="2.42578125" style="119" customWidth="1"/>
    <col min="38" max="38" width="0.42578125" style="239" customWidth="1"/>
    <col min="39" max="39" width="3.5703125" style="119" customWidth="1"/>
    <col min="40" max="40" width="2.42578125" style="119" customWidth="1"/>
    <col min="41" max="41" width="0.42578125" style="239" customWidth="1"/>
    <col min="42" max="42" width="3.5703125" style="119" customWidth="1"/>
    <col min="43" max="43" width="2.42578125" style="119" customWidth="1"/>
    <col min="44" max="44" width="0.42578125" style="239" customWidth="1"/>
    <col min="45" max="45" width="3.5703125" style="119" customWidth="1"/>
    <col min="46" max="46" width="2.42578125" style="119" customWidth="1"/>
    <col min="47" max="47" width="0.42578125" style="239" customWidth="1"/>
    <col min="48" max="48" width="3.5703125" style="119" customWidth="1"/>
    <col min="49" max="49" width="2.42578125" style="119" customWidth="1"/>
    <col min="50" max="50" width="0.42578125" style="239" customWidth="1"/>
    <col min="51" max="51" width="3.5703125" style="119" customWidth="1"/>
    <col min="52" max="52" width="2.42578125" style="119" customWidth="1"/>
    <col min="53" max="53" width="0.42578125" style="239" customWidth="1"/>
    <col min="54" max="54" width="3.5703125" style="119" customWidth="1"/>
    <col min="55" max="55" width="2.42578125" style="119" customWidth="1"/>
    <col min="56" max="56" width="0.42578125" style="239" customWidth="1"/>
    <col min="57" max="57" width="3.5703125" style="119" customWidth="1"/>
    <col min="58" max="58" width="2.42578125" style="119" customWidth="1"/>
    <col min="59" max="59" width="0.42578125" style="239" customWidth="1"/>
    <col min="60" max="60" width="3.5703125" style="119" customWidth="1"/>
    <col min="61" max="61" width="2.42578125" style="119" customWidth="1"/>
    <col min="62" max="62" width="0.42578125" style="239" customWidth="1"/>
    <col min="63" max="63" width="3.5703125" style="119" customWidth="1"/>
    <col min="64" max="64" width="2.42578125" style="119" customWidth="1"/>
    <col min="65" max="65" width="0.42578125" style="239" customWidth="1"/>
    <col min="66" max="66" width="3.5703125" style="119" customWidth="1"/>
    <col min="67" max="67" width="2.42578125" style="119" customWidth="1"/>
    <col min="68" max="68" width="0.42578125" style="239" customWidth="1"/>
    <col min="69" max="69" width="3.5703125" style="119" customWidth="1"/>
    <col min="70" max="70" width="2.42578125" style="119" customWidth="1"/>
    <col min="71" max="71" width="0.42578125" style="239" customWidth="1"/>
    <col min="72" max="72" width="3.5703125" style="119" customWidth="1"/>
    <col min="73" max="73" width="2.42578125" style="119" customWidth="1"/>
    <col min="74" max="74" width="0.42578125" style="239" customWidth="1"/>
    <col min="75" max="75" width="3.5703125" style="119" customWidth="1"/>
    <col min="76" max="76" width="2.42578125" style="119" customWidth="1"/>
    <col min="77" max="77" width="0.42578125" style="239" customWidth="1"/>
    <col min="78" max="78" width="3.5703125" style="119" customWidth="1"/>
    <col min="79" max="79" width="2.42578125" style="119" customWidth="1"/>
    <col min="80" max="80" width="0.42578125" style="119" customWidth="1"/>
    <col min="81" max="81" width="3.5703125" style="119" customWidth="1"/>
    <col min="82" max="82" width="2.42578125" style="119" customWidth="1"/>
    <col min="83" max="83" width="0.42578125" style="119" customWidth="1"/>
    <col min="84" max="84" width="3.5703125" style="119" customWidth="1"/>
    <col min="85" max="85" width="2.42578125" style="119" customWidth="1"/>
    <col min="86" max="86" width="0.42578125" style="119" customWidth="1"/>
    <col min="87" max="87" width="3.5703125" style="119" customWidth="1"/>
    <col min="88" max="88" width="2.42578125" style="119" customWidth="1"/>
    <col min="89" max="89" width="3.5703125" style="119" customWidth="1"/>
    <col min="90" max="92" width="4.28515625" style="119" customWidth="1"/>
    <col min="93" max="93" width="0.42578125" style="119" customWidth="1"/>
    <col min="94" max="97" width="4.28515625" style="119" customWidth="1"/>
    <col min="98" max="98" width="3.28515625" style="119" customWidth="1"/>
    <col min="99" max="99" width="1" style="119" customWidth="1"/>
    <col min="100" max="100" width="5.28515625" style="119" customWidth="1"/>
    <col min="101" max="101" width="1" style="119" customWidth="1"/>
    <col min="102" max="103" width="6.42578125" style="119" customWidth="1"/>
    <col min="104" max="108" width="4.28515625" style="119" customWidth="1"/>
    <col min="109" max="109" width="3.28515625" style="119" customWidth="1"/>
    <col min="110" max="110" width="1" style="119" customWidth="1"/>
    <col min="111" max="111" width="5.28515625" style="119" customWidth="1"/>
    <col min="112" max="112" width="1" style="119" customWidth="1"/>
    <col min="113" max="113" width="6.42578125" style="119" customWidth="1"/>
    <col min="114" max="114" width="4.28515625" style="119" customWidth="1"/>
    <col min="115" max="115" width="1" style="119" customWidth="1"/>
    <col min="116" max="118" width="4.28515625" style="119" customWidth="1"/>
    <col min="119" max="146" width="9.140625" style="119"/>
    <col min="147" max="16384" width="9.140625" style="125"/>
  </cols>
  <sheetData>
    <row r="1" spans="2:237" ht="13.5" customHeight="1" x14ac:dyDescent="0.2"/>
    <row r="2" spans="2:237" s="126" customFormat="1" ht="60" customHeight="1" x14ac:dyDescent="0.25">
      <c r="B2" s="119"/>
      <c r="C2" s="120"/>
      <c r="D2" s="120"/>
      <c r="E2" s="121"/>
      <c r="F2" s="121"/>
      <c r="G2" s="121"/>
      <c r="H2" s="119"/>
      <c r="I2" s="119"/>
      <c r="J2" s="121"/>
      <c r="K2" s="121"/>
      <c r="L2" s="121"/>
      <c r="M2" s="121"/>
      <c r="N2" s="121"/>
      <c r="P2" s="240"/>
      <c r="Q2" s="121"/>
      <c r="R2" s="434" t="str">
        <f>Fixtures!C3</f>
        <v>Highgate</v>
      </c>
      <c r="S2" s="435"/>
      <c r="T2" s="241"/>
      <c r="U2" s="434" t="str">
        <f>Fixtures!C4</f>
        <v>Harrow St. Mary's</v>
      </c>
      <c r="V2" s="435"/>
      <c r="W2" s="241"/>
      <c r="X2" s="434" t="str">
        <f>Fixtures!C5</f>
        <v>Ickenham</v>
      </c>
      <c r="Y2" s="435"/>
      <c r="Z2" s="241"/>
      <c r="AA2" s="434" t="str">
        <f>Fixtures!C6</f>
        <v>Northwood</v>
      </c>
      <c r="AB2" s="435"/>
      <c r="AC2" s="241"/>
      <c r="AD2" s="434" t="str">
        <f>Fixtures!C7</f>
        <v>Kew</v>
      </c>
      <c r="AE2" s="435"/>
      <c r="AF2" s="241"/>
      <c r="AG2" s="434" t="str">
        <f>Fixtures!C8</f>
        <v>Barnes</v>
      </c>
      <c r="AH2" s="435"/>
      <c r="AI2" s="241"/>
      <c r="AJ2" s="434" t="str">
        <f>Fixtures!C9</f>
        <v>Putney</v>
      </c>
      <c r="AK2" s="435"/>
      <c r="AL2" s="241"/>
      <c r="AM2" s="434" t="str">
        <f>Fixtures!C10</f>
        <v>Chingford</v>
      </c>
      <c r="AN2" s="435"/>
      <c r="AO2" s="241"/>
      <c r="AP2" s="434" t="str">
        <f>Fixtures!C11</f>
        <v>North Enfield</v>
      </c>
      <c r="AQ2" s="435"/>
      <c r="AR2" s="241"/>
      <c r="AS2" s="434" t="str">
        <f>Fixtures!C12</f>
        <v>Shepperton</v>
      </c>
      <c r="AT2" s="435"/>
      <c r="AU2" s="241"/>
      <c r="AV2" s="434" t="str">
        <f>Fixtures!C13</f>
        <v>Royal Household</v>
      </c>
      <c r="AW2" s="435"/>
      <c r="AX2" s="241"/>
      <c r="AY2" s="434" t="str">
        <f>Fixtures!C14</f>
        <v>Crouch End</v>
      </c>
      <c r="AZ2" s="435"/>
      <c r="BA2" s="241"/>
      <c r="BB2" s="434" t="str">
        <f>Fixtures!C15</f>
        <v>Holtwhites Trinibis</v>
      </c>
      <c r="BC2" s="435"/>
      <c r="BD2" s="241"/>
      <c r="BE2" s="434" t="str">
        <f>Fixtures!C16</f>
        <v>Teddington</v>
      </c>
      <c r="BF2" s="435"/>
      <c r="BG2" s="241"/>
      <c r="BH2" s="434" t="str">
        <f>Fixtures!C17</f>
        <v>Old Wimbledonians</v>
      </c>
      <c r="BI2" s="435"/>
      <c r="BJ2" s="241"/>
      <c r="BK2" s="434" t="str">
        <f>Fixtures!C18</f>
        <v>Shepherd's Bush</v>
      </c>
      <c r="BL2" s="435"/>
      <c r="BM2" s="241"/>
      <c r="BN2" s="434" t="str">
        <f>Fixtures!C19</f>
        <v>Missenden Misfits</v>
      </c>
      <c r="BO2" s="435"/>
      <c r="BP2" s="241"/>
      <c r="BQ2" s="434" t="str">
        <f>Fixtures!C20</f>
        <v>Post Modernists</v>
      </c>
      <c r="BR2" s="435"/>
      <c r="BS2" s="241"/>
      <c r="BT2" s="434" t="str">
        <f>Fixtures!C21</f>
        <v>Nevill Holt</v>
      </c>
      <c r="BU2" s="435"/>
      <c r="BV2" s="241"/>
      <c r="BW2" s="434" t="str">
        <f>Fixtures!C22</f>
        <v>Wembley</v>
      </c>
      <c r="BX2" s="435"/>
      <c r="BY2" s="241"/>
      <c r="BZ2" s="445"/>
      <c r="CA2" s="446"/>
      <c r="CB2" s="242"/>
      <c r="CC2" s="445"/>
      <c r="CD2" s="446"/>
      <c r="CE2" s="242"/>
      <c r="CF2" s="451"/>
      <c r="CG2" s="452"/>
      <c r="CH2" s="242"/>
      <c r="CI2" s="451"/>
      <c r="CJ2" s="452"/>
      <c r="CM2" s="440"/>
      <c r="CN2" s="440"/>
      <c r="CO2" s="440"/>
      <c r="CP2" s="441"/>
      <c r="CQ2" s="441"/>
      <c r="CY2" s="119"/>
      <c r="DB2" s="119"/>
      <c r="DC2" s="119"/>
      <c r="DD2" s="119"/>
      <c r="DE2" s="119"/>
      <c r="DF2" s="119"/>
      <c r="DG2" s="119"/>
      <c r="DH2" s="119"/>
      <c r="DI2" s="119"/>
      <c r="DJ2" s="119"/>
      <c r="DK2" s="119"/>
      <c r="DL2" s="119"/>
      <c r="DM2" s="119"/>
      <c r="DN2" s="119"/>
      <c r="DO2" s="119"/>
      <c r="ET2" s="125"/>
      <c r="EU2" s="125"/>
      <c r="EV2" s="125"/>
      <c r="EW2" s="125"/>
      <c r="EX2" s="125"/>
      <c r="EY2" s="125"/>
      <c r="EZ2" s="125"/>
      <c r="FA2" s="125"/>
      <c r="FB2" s="125"/>
      <c r="FC2" s="125"/>
      <c r="FD2" s="125"/>
      <c r="FE2" s="125"/>
      <c r="FF2" s="125"/>
      <c r="FG2" s="125"/>
      <c r="FH2" s="125"/>
      <c r="FI2" s="125"/>
      <c r="FJ2" s="125"/>
      <c r="FK2" s="125"/>
      <c r="FL2" s="125"/>
      <c r="FM2" s="125"/>
      <c r="FN2" s="125"/>
      <c r="FO2" s="125"/>
      <c r="FP2" s="125"/>
      <c r="FQ2" s="125"/>
      <c r="FR2" s="125"/>
      <c r="FS2" s="125"/>
      <c r="FT2" s="125"/>
      <c r="FU2" s="125"/>
      <c r="FV2" s="125"/>
      <c r="FW2" s="125"/>
      <c r="FX2" s="125"/>
      <c r="FY2" s="125"/>
      <c r="FZ2" s="125"/>
      <c r="GA2" s="125"/>
      <c r="GB2" s="125"/>
      <c r="GC2" s="125"/>
      <c r="GD2" s="125"/>
      <c r="GE2" s="125"/>
      <c r="GF2" s="125"/>
      <c r="GG2" s="125"/>
      <c r="GH2" s="125"/>
      <c r="GI2" s="125"/>
      <c r="GJ2" s="125"/>
      <c r="GK2" s="125"/>
      <c r="GL2" s="125"/>
      <c r="GM2" s="125"/>
      <c r="GN2" s="125"/>
      <c r="GO2" s="125"/>
      <c r="GP2" s="125"/>
      <c r="GQ2" s="125"/>
      <c r="GR2" s="125"/>
      <c r="GS2" s="125"/>
      <c r="GT2" s="125"/>
      <c r="GU2" s="125"/>
      <c r="GV2" s="125"/>
      <c r="GW2" s="125"/>
      <c r="GX2" s="125"/>
      <c r="GY2" s="125"/>
      <c r="GZ2" s="125"/>
      <c r="HA2" s="125"/>
      <c r="HB2" s="125"/>
      <c r="HC2" s="125"/>
      <c r="HD2" s="125"/>
      <c r="HE2" s="125"/>
      <c r="HF2" s="125"/>
      <c r="HG2" s="125"/>
      <c r="HH2" s="125"/>
      <c r="HI2" s="125"/>
      <c r="HJ2" s="125"/>
      <c r="HK2" s="125"/>
      <c r="HL2" s="125"/>
      <c r="HM2" s="125"/>
      <c r="HN2" s="125"/>
      <c r="HO2" s="125"/>
      <c r="HP2" s="125"/>
      <c r="HQ2" s="125"/>
    </row>
    <row r="3" spans="2:237" s="126" customFormat="1" ht="13.5" customHeight="1" x14ac:dyDescent="0.2">
      <c r="B3" s="119"/>
      <c r="C3" s="120"/>
      <c r="D3" s="120"/>
      <c r="E3" s="121"/>
      <c r="F3" s="121"/>
      <c r="G3" s="121"/>
      <c r="H3" s="119"/>
      <c r="I3" s="119"/>
      <c r="J3" s="121"/>
      <c r="K3" s="121"/>
      <c r="L3" s="121"/>
      <c r="M3" s="179" t="s">
        <v>17</v>
      </c>
      <c r="N3" s="121"/>
      <c r="O3" s="167" t="s">
        <v>172</v>
      </c>
      <c r="P3" s="457" t="s">
        <v>173</v>
      </c>
      <c r="Q3" s="121"/>
      <c r="R3" s="436"/>
      <c r="S3" s="437"/>
      <c r="T3" s="243"/>
      <c r="U3" s="436"/>
      <c r="V3" s="437"/>
      <c r="W3" s="243"/>
      <c r="X3" s="436"/>
      <c r="Y3" s="437"/>
      <c r="Z3" s="243"/>
      <c r="AA3" s="436"/>
      <c r="AB3" s="437"/>
      <c r="AC3" s="243"/>
      <c r="AD3" s="436"/>
      <c r="AE3" s="437"/>
      <c r="AF3" s="243"/>
      <c r="AG3" s="436"/>
      <c r="AH3" s="437"/>
      <c r="AI3" s="243"/>
      <c r="AJ3" s="436"/>
      <c r="AK3" s="437"/>
      <c r="AL3" s="243"/>
      <c r="AM3" s="436"/>
      <c r="AN3" s="437"/>
      <c r="AO3" s="243"/>
      <c r="AP3" s="436"/>
      <c r="AQ3" s="437"/>
      <c r="AR3" s="243"/>
      <c r="AS3" s="436"/>
      <c r="AT3" s="437"/>
      <c r="AU3" s="243"/>
      <c r="AV3" s="436"/>
      <c r="AW3" s="437"/>
      <c r="AX3" s="243"/>
      <c r="AY3" s="436"/>
      <c r="AZ3" s="437"/>
      <c r="BA3" s="243"/>
      <c r="BB3" s="436"/>
      <c r="BC3" s="437"/>
      <c r="BD3" s="243"/>
      <c r="BE3" s="436"/>
      <c r="BF3" s="437"/>
      <c r="BG3" s="243"/>
      <c r="BH3" s="436"/>
      <c r="BI3" s="437"/>
      <c r="BJ3" s="243"/>
      <c r="BK3" s="436"/>
      <c r="BL3" s="437"/>
      <c r="BM3" s="243"/>
      <c r="BN3" s="436"/>
      <c r="BO3" s="437"/>
      <c r="BP3" s="243"/>
      <c r="BQ3" s="436"/>
      <c r="BR3" s="437"/>
      <c r="BS3" s="243"/>
      <c r="BT3" s="436"/>
      <c r="BU3" s="437"/>
      <c r="BV3" s="243"/>
      <c r="BW3" s="436"/>
      <c r="BX3" s="437"/>
      <c r="BY3" s="243"/>
      <c r="BZ3" s="445"/>
      <c r="CA3" s="446"/>
      <c r="CB3" s="242"/>
      <c r="CC3" s="445"/>
      <c r="CD3" s="446"/>
      <c r="CE3" s="242"/>
      <c r="CF3" s="451"/>
      <c r="CG3" s="452"/>
      <c r="CH3" s="242"/>
      <c r="CI3" s="451"/>
      <c r="CJ3" s="452"/>
      <c r="CL3" s="119"/>
      <c r="CM3" s="119"/>
      <c r="CN3" s="119"/>
      <c r="CO3" s="119"/>
      <c r="CP3" s="119"/>
      <c r="CQ3" s="119"/>
      <c r="CR3" s="119"/>
      <c r="CS3" s="119"/>
      <c r="CT3" s="119"/>
      <c r="CU3" s="119"/>
      <c r="CV3" s="119"/>
      <c r="CY3" s="119"/>
      <c r="DB3" s="119"/>
      <c r="DC3" s="119"/>
      <c r="DD3" s="119"/>
      <c r="DE3" s="119"/>
      <c r="DF3" s="119"/>
      <c r="DG3" s="119"/>
      <c r="DH3" s="119"/>
      <c r="DI3" s="119"/>
      <c r="DJ3" s="119"/>
      <c r="DK3" s="119"/>
      <c r="DL3" s="119"/>
      <c r="DM3" s="119"/>
      <c r="DN3" s="119"/>
      <c r="DO3" s="119"/>
      <c r="ET3" s="125"/>
      <c r="EU3" s="125"/>
      <c r="EV3" s="125"/>
      <c r="EW3" s="125"/>
      <c r="EX3" s="125"/>
      <c r="EY3" s="125"/>
      <c r="EZ3" s="125"/>
      <c r="FA3" s="125"/>
      <c r="FB3" s="125"/>
      <c r="FC3" s="125"/>
      <c r="FD3" s="125"/>
      <c r="FE3" s="125"/>
      <c r="FF3" s="125"/>
      <c r="FG3" s="125"/>
      <c r="FH3" s="125"/>
      <c r="FI3" s="125"/>
      <c r="FJ3" s="125"/>
      <c r="FK3" s="125"/>
      <c r="FL3" s="125"/>
      <c r="FM3" s="125"/>
      <c r="FN3" s="125"/>
      <c r="FO3" s="125"/>
      <c r="FP3" s="125"/>
      <c r="FQ3" s="125"/>
      <c r="FR3" s="125"/>
      <c r="FS3" s="125"/>
      <c r="FT3" s="125"/>
      <c r="FU3" s="125"/>
      <c r="FV3" s="125"/>
      <c r="FW3" s="125"/>
      <c r="FX3" s="125"/>
      <c r="FY3" s="125"/>
      <c r="FZ3" s="125"/>
      <c r="GA3" s="125"/>
      <c r="GB3" s="125"/>
      <c r="GC3" s="125"/>
      <c r="GD3" s="125"/>
      <c r="GE3" s="125"/>
      <c r="GF3" s="125"/>
      <c r="GG3" s="125"/>
      <c r="GH3" s="125"/>
      <c r="GI3" s="125"/>
      <c r="GJ3" s="125"/>
      <c r="GK3" s="125"/>
      <c r="GL3" s="125"/>
      <c r="GM3" s="125"/>
      <c r="GN3" s="125"/>
      <c r="GO3" s="125"/>
      <c r="GP3" s="125"/>
      <c r="GQ3" s="125"/>
      <c r="GR3" s="125"/>
      <c r="GS3" s="125"/>
      <c r="GT3" s="125"/>
      <c r="GU3" s="125"/>
      <c r="GV3" s="125"/>
      <c r="GW3" s="125"/>
      <c r="GX3" s="125"/>
      <c r="GY3" s="125"/>
      <c r="GZ3" s="125"/>
      <c r="HA3" s="125"/>
      <c r="HB3" s="125"/>
      <c r="HC3" s="125"/>
      <c r="HD3" s="125"/>
      <c r="HE3" s="125"/>
      <c r="HF3" s="125"/>
      <c r="HG3" s="125"/>
      <c r="HH3" s="125"/>
      <c r="HI3" s="125"/>
      <c r="HJ3" s="125"/>
      <c r="HK3" s="125"/>
      <c r="HL3" s="125"/>
      <c r="HM3" s="125"/>
      <c r="HN3" s="125"/>
      <c r="HO3" s="125"/>
      <c r="HP3" s="125"/>
      <c r="HQ3" s="125"/>
    </row>
    <row r="4" spans="2:237" s="126" customFormat="1" ht="13.5" customHeight="1" x14ac:dyDescent="0.2">
      <c r="B4" s="119"/>
      <c r="C4" s="120"/>
      <c r="D4" s="120"/>
      <c r="E4" s="121"/>
      <c r="F4" s="121"/>
      <c r="G4" s="121"/>
      <c r="H4" s="119"/>
      <c r="I4" s="119"/>
      <c r="J4" s="121"/>
      <c r="K4" s="121"/>
      <c r="L4" s="121"/>
      <c r="M4" s="235" t="s">
        <v>28</v>
      </c>
      <c r="N4" s="118"/>
      <c r="O4" s="236" t="s">
        <v>14</v>
      </c>
      <c r="P4" s="458"/>
      <c r="Q4" s="121"/>
      <c r="R4" s="436"/>
      <c r="S4" s="437"/>
      <c r="T4" s="243"/>
      <c r="U4" s="436"/>
      <c r="V4" s="437"/>
      <c r="W4" s="243"/>
      <c r="X4" s="436"/>
      <c r="Y4" s="437"/>
      <c r="Z4" s="243"/>
      <c r="AA4" s="436"/>
      <c r="AB4" s="437"/>
      <c r="AC4" s="243"/>
      <c r="AD4" s="436"/>
      <c r="AE4" s="437"/>
      <c r="AF4" s="243"/>
      <c r="AG4" s="436"/>
      <c r="AH4" s="437"/>
      <c r="AI4" s="243"/>
      <c r="AJ4" s="436"/>
      <c r="AK4" s="437"/>
      <c r="AL4" s="243"/>
      <c r="AM4" s="436"/>
      <c r="AN4" s="437"/>
      <c r="AO4" s="243"/>
      <c r="AP4" s="436"/>
      <c r="AQ4" s="437"/>
      <c r="AR4" s="243"/>
      <c r="AS4" s="436"/>
      <c r="AT4" s="437"/>
      <c r="AU4" s="243"/>
      <c r="AV4" s="436"/>
      <c r="AW4" s="437"/>
      <c r="AX4" s="243"/>
      <c r="AY4" s="436"/>
      <c r="AZ4" s="437"/>
      <c r="BA4" s="243"/>
      <c r="BB4" s="436"/>
      <c r="BC4" s="437"/>
      <c r="BD4" s="243"/>
      <c r="BE4" s="436"/>
      <c r="BF4" s="437"/>
      <c r="BG4" s="243"/>
      <c r="BH4" s="436"/>
      <c r="BI4" s="437"/>
      <c r="BJ4" s="243"/>
      <c r="BK4" s="436"/>
      <c r="BL4" s="437"/>
      <c r="BM4" s="243"/>
      <c r="BN4" s="436"/>
      <c r="BO4" s="437"/>
      <c r="BP4" s="243"/>
      <c r="BQ4" s="436"/>
      <c r="BR4" s="437"/>
      <c r="BS4" s="243"/>
      <c r="BT4" s="436"/>
      <c r="BU4" s="437"/>
      <c r="BV4" s="243"/>
      <c r="BW4" s="436"/>
      <c r="BX4" s="437"/>
      <c r="BY4" s="243"/>
      <c r="BZ4" s="445"/>
      <c r="CA4" s="446"/>
      <c r="CB4" s="242"/>
      <c r="CC4" s="445"/>
      <c r="CD4" s="446"/>
      <c r="CE4" s="242"/>
      <c r="CF4" s="451"/>
      <c r="CG4" s="452"/>
      <c r="CH4" s="242"/>
      <c r="CI4" s="451"/>
      <c r="CJ4" s="452"/>
      <c r="CL4" s="119"/>
      <c r="CM4" s="119"/>
      <c r="CN4" s="119"/>
      <c r="CO4" s="119"/>
      <c r="CP4" s="448" t="s">
        <v>18</v>
      </c>
      <c r="CQ4" s="449"/>
      <c r="CR4" s="449"/>
      <c r="CS4" s="449"/>
      <c r="CT4" s="449"/>
      <c r="CU4" s="449"/>
      <c r="CV4" s="450"/>
      <c r="CW4" s="126" t="s">
        <v>19</v>
      </c>
      <c r="CX4" s="168" t="s">
        <v>20</v>
      </c>
      <c r="CY4" s="119"/>
      <c r="CZ4" s="119"/>
      <c r="DA4" s="119"/>
      <c r="DB4" s="119"/>
      <c r="DC4" s="119"/>
      <c r="DD4" s="119"/>
      <c r="DE4" s="119"/>
      <c r="DF4" s="119"/>
      <c r="DG4" s="119"/>
      <c r="DH4" s="119"/>
      <c r="DI4" s="119"/>
      <c r="DJ4" s="119"/>
      <c r="DK4" s="119"/>
      <c r="DL4" s="119"/>
      <c r="DM4" s="119"/>
      <c r="DN4" s="119"/>
      <c r="DO4" s="246"/>
      <c r="FF4" s="125"/>
      <c r="FG4" s="125"/>
      <c r="FH4" s="125"/>
      <c r="FI4" s="125"/>
      <c r="FJ4" s="125"/>
      <c r="FK4" s="125"/>
      <c r="FL4" s="125"/>
      <c r="FM4" s="125"/>
      <c r="FN4" s="125"/>
      <c r="FO4" s="125"/>
      <c r="FP4" s="125"/>
      <c r="FQ4" s="125"/>
      <c r="FR4" s="125"/>
      <c r="FS4" s="125"/>
      <c r="FT4" s="125"/>
      <c r="FU4" s="125"/>
      <c r="FV4" s="125"/>
      <c r="FW4" s="125"/>
      <c r="FX4" s="125"/>
      <c r="FY4" s="125"/>
      <c r="FZ4" s="125"/>
      <c r="GA4" s="125"/>
      <c r="GB4" s="125"/>
      <c r="GC4" s="125"/>
      <c r="GD4" s="125"/>
      <c r="GE4" s="125"/>
      <c r="GF4" s="125"/>
      <c r="GG4" s="125"/>
      <c r="GH4" s="125"/>
      <c r="GI4" s="125"/>
      <c r="GJ4" s="125"/>
      <c r="GK4" s="125"/>
      <c r="GL4" s="125"/>
      <c r="GM4" s="125"/>
      <c r="GN4" s="125"/>
      <c r="GO4" s="125"/>
      <c r="GP4" s="125"/>
      <c r="GQ4" s="125"/>
      <c r="GR4" s="125"/>
      <c r="GS4" s="125"/>
      <c r="GT4" s="125"/>
      <c r="GU4" s="125"/>
      <c r="GV4" s="125"/>
      <c r="GW4" s="125"/>
      <c r="GX4" s="125"/>
      <c r="GY4" s="125"/>
      <c r="GZ4" s="125"/>
      <c r="HA4" s="125"/>
      <c r="HB4" s="125"/>
      <c r="HC4" s="125"/>
      <c r="HD4" s="125"/>
      <c r="HE4" s="125"/>
      <c r="HF4" s="125"/>
      <c r="HG4" s="125"/>
      <c r="HH4" s="125"/>
      <c r="HI4" s="125"/>
      <c r="HJ4" s="125"/>
      <c r="HK4" s="125"/>
      <c r="HL4" s="125"/>
      <c r="HM4" s="125"/>
      <c r="HN4" s="125"/>
      <c r="HO4" s="125"/>
      <c r="HP4" s="125"/>
      <c r="HQ4" s="125"/>
      <c r="HR4" s="125"/>
      <c r="HS4" s="125"/>
      <c r="HT4" s="125"/>
      <c r="HU4" s="125"/>
      <c r="HV4" s="125"/>
      <c r="HW4" s="125"/>
      <c r="HX4" s="125"/>
      <c r="HY4" s="125"/>
      <c r="HZ4" s="125"/>
      <c r="IA4" s="125"/>
      <c r="IB4" s="125"/>
      <c r="IC4" s="125"/>
    </row>
    <row r="5" spans="2:237" s="126" customFormat="1" ht="13.5" customHeight="1" x14ac:dyDescent="0.2">
      <c r="B5" s="181" t="s">
        <v>21</v>
      </c>
      <c r="C5" s="190"/>
      <c r="D5" s="189" t="s">
        <v>22</v>
      </c>
      <c r="E5" s="187" t="s">
        <v>23</v>
      </c>
      <c r="F5" s="187" t="s">
        <v>24</v>
      </c>
      <c r="G5" s="187" t="s">
        <v>25</v>
      </c>
      <c r="H5" s="191" t="s">
        <v>26</v>
      </c>
      <c r="I5" s="192"/>
      <c r="J5" s="191" t="s">
        <v>27</v>
      </c>
      <c r="K5" s="192"/>
      <c r="L5" s="121"/>
      <c r="M5" s="180" t="s">
        <v>110</v>
      </c>
      <c r="N5" s="118"/>
      <c r="O5" s="237" t="s">
        <v>27</v>
      </c>
      <c r="P5" s="180" t="s">
        <v>110</v>
      </c>
      <c r="Q5" s="121"/>
      <c r="R5" s="438"/>
      <c r="S5" s="439"/>
      <c r="T5" s="254"/>
      <c r="U5" s="438"/>
      <c r="V5" s="439"/>
      <c r="W5" s="254"/>
      <c r="X5" s="438"/>
      <c r="Y5" s="439"/>
      <c r="Z5" s="254"/>
      <c r="AA5" s="438"/>
      <c r="AB5" s="439"/>
      <c r="AC5" s="254"/>
      <c r="AD5" s="438"/>
      <c r="AE5" s="439"/>
      <c r="AF5" s="254"/>
      <c r="AG5" s="438"/>
      <c r="AH5" s="439"/>
      <c r="AI5" s="254"/>
      <c r="AJ5" s="438"/>
      <c r="AK5" s="439"/>
      <c r="AL5" s="254"/>
      <c r="AM5" s="438"/>
      <c r="AN5" s="439"/>
      <c r="AO5" s="254"/>
      <c r="AP5" s="438"/>
      <c r="AQ5" s="439"/>
      <c r="AR5" s="254"/>
      <c r="AS5" s="438"/>
      <c r="AT5" s="439"/>
      <c r="AU5" s="254"/>
      <c r="AV5" s="438"/>
      <c r="AW5" s="439"/>
      <c r="AX5" s="254"/>
      <c r="AY5" s="438"/>
      <c r="AZ5" s="439"/>
      <c r="BA5" s="254"/>
      <c r="BB5" s="438"/>
      <c r="BC5" s="439"/>
      <c r="BD5" s="254"/>
      <c r="BE5" s="438"/>
      <c r="BF5" s="439"/>
      <c r="BG5" s="254"/>
      <c r="BH5" s="438"/>
      <c r="BI5" s="439"/>
      <c r="BJ5" s="254"/>
      <c r="BK5" s="438"/>
      <c r="BL5" s="439"/>
      <c r="BM5" s="254"/>
      <c r="BN5" s="438"/>
      <c r="BO5" s="439"/>
      <c r="BP5" s="254"/>
      <c r="BQ5" s="438"/>
      <c r="BR5" s="439"/>
      <c r="BS5" s="254"/>
      <c r="BT5" s="438"/>
      <c r="BU5" s="439"/>
      <c r="BV5" s="254"/>
      <c r="BW5" s="438"/>
      <c r="BX5" s="439"/>
      <c r="BY5" s="254"/>
      <c r="BZ5" s="447"/>
      <c r="CA5" s="446"/>
      <c r="CB5" s="255"/>
      <c r="CC5" s="447"/>
      <c r="CD5" s="446"/>
      <c r="CE5" s="255"/>
      <c r="CF5" s="453"/>
      <c r="CG5" s="452"/>
      <c r="CH5" s="255"/>
      <c r="CI5" s="453"/>
      <c r="CJ5" s="452"/>
      <c r="CL5" s="119"/>
      <c r="CM5" s="119"/>
      <c r="CN5" s="119"/>
      <c r="CO5" s="119"/>
      <c r="CP5" s="187" t="s">
        <v>22</v>
      </c>
      <c r="CQ5" s="187" t="s">
        <v>23</v>
      </c>
      <c r="CR5" s="187" t="s">
        <v>24</v>
      </c>
      <c r="CS5" s="187" t="s">
        <v>25</v>
      </c>
      <c r="CT5" s="191" t="s">
        <v>26</v>
      </c>
      <c r="CU5" s="192"/>
      <c r="CV5" s="187" t="s">
        <v>27</v>
      </c>
      <c r="CW5" s="126" t="s">
        <v>19</v>
      </c>
      <c r="CX5" s="169" t="s">
        <v>30</v>
      </c>
      <c r="CY5" s="119" t="s">
        <v>19</v>
      </c>
      <c r="CZ5" s="119"/>
      <c r="DA5" s="119"/>
      <c r="DB5" s="119"/>
      <c r="DC5" s="119"/>
      <c r="DD5" s="119"/>
      <c r="DE5" s="119"/>
      <c r="DF5" s="119"/>
      <c r="DG5" s="119"/>
      <c r="DH5" s="119"/>
      <c r="DI5" s="119"/>
      <c r="DJ5" s="119"/>
      <c r="DK5" s="119"/>
      <c r="DL5" s="119"/>
      <c r="DM5" s="119"/>
      <c r="DN5" s="119"/>
      <c r="DO5" s="246"/>
      <c r="FF5" s="125"/>
      <c r="FG5" s="125"/>
      <c r="FH5" s="125"/>
      <c r="FI5" s="125"/>
      <c r="FJ5" s="125"/>
      <c r="FK5" s="125"/>
      <c r="FL5" s="125"/>
      <c r="FM5" s="125"/>
      <c r="FN5" s="125"/>
      <c r="FO5" s="125"/>
      <c r="FP5" s="125"/>
      <c r="FQ5" s="125"/>
      <c r="FR5" s="125"/>
      <c r="FS5" s="125"/>
      <c r="FT5" s="125"/>
      <c r="FU5" s="125"/>
      <c r="FV5" s="125"/>
      <c r="FW5" s="125"/>
      <c r="FX5" s="125"/>
      <c r="FY5" s="125"/>
      <c r="FZ5" s="125"/>
      <c r="GA5" s="125"/>
      <c r="GB5" s="125"/>
      <c r="GC5" s="125"/>
      <c r="GD5" s="125"/>
      <c r="GE5" s="125"/>
      <c r="GF5" s="125"/>
      <c r="GG5" s="125"/>
      <c r="GH5" s="125"/>
      <c r="GI5" s="125"/>
      <c r="GJ5" s="125"/>
      <c r="GK5" s="125"/>
      <c r="GL5" s="125"/>
      <c r="GM5" s="125"/>
      <c r="GN5" s="125"/>
      <c r="GO5" s="125"/>
      <c r="GP5" s="125"/>
      <c r="GQ5" s="125"/>
      <c r="GR5" s="125"/>
      <c r="GS5" s="125"/>
      <c r="GT5" s="125"/>
      <c r="GU5" s="125"/>
      <c r="GV5" s="125"/>
      <c r="GW5" s="125"/>
      <c r="GX5" s="125"/>
      <c r="GY5" s="125"/>
      <c r="GZ5" s="125"/>
      <c r="HA5" s="125"/>
      <c r="HB5" s="125"/>
      <c r="HC5" s="125"/>
      <c r="HD5" s="125"/>
      <c r="HE5" s="125"/>
      <c r="HF5" s="125"/>
      <c r="HG5" s="125"/>
      <c r="HH5" s="125"/>
      <c r="HI5" s="125"/>
      <c r="HJ5" s="125"/>
      <c r="HK5" s="125"/>
      <c r="HL5" s="125"/>
      <c r="HM5" s="125"/>
      <c r="HN5" s="125"/>
      <c r="HO5" s="125"/>
      <c r="HP5" s="125"/>
      <c r="HQ5" s="125"/>
      <c r="HR5" s="125"/>
      <c r="HS5" s="125"/>
      <c r="HT5" s="125"/>
      <c r="HU5" s="125"/>
      <c r="HV5" s="125"/>
      <c r="HW5" s="125"/>
      <c r="HX5" s="125"/>
      <c r="HY5" s="125"/>
      <c r="HZ5" s="125"/>
      <c r="IA5" s="125"/>
      <c r="IB5" s="125"/>
      <c r="IC5" s="125"/>
    </row>
    <row r="6" spans="2:237" ht="13.5" customHeight="1" x14ac:dyDescent="0.2">
      <c r="B6" s="158" t="s">
        <v>31</v>
      </c>
      <c r="C6" s="159" t="s">
        <v>191</v>
      </c>
      <c r="D6" s="171">
        <f t="shared" ref="D6:D9" si="0">COUNTA(R6,U6,X6,AA6,AD6,AG6,AJ6,AM6,AP6,AS6,AV6,AY6,BB6,BE6,BH6,BK6,BN6,BQ6,BT6,BW6,CC6,CF6,CI6)</f>
        <v>14</v>
      </c>
      <c r="E6" s="171">
        <f>IF(COUNT(R6,U6,X6,AA6,AD6,AG6,AJ6,AM6,AP6,AS6,AV6,AY6,BB6,BE6,BH6,BK6,BN6,BQ6,BT6,BW6,CC6,CF6,CI6)=0,"-",COUNT(R6,U6,X6,AA6,AD6,AG6,AJ6,AM6,AP6,AS6,AV6,AY6,BB6,BE6,BH6,BK6,BN6,BQ6,BT6,BW6,CC6,CF6,CB))</f>
        <v>14</v>
      </c>
      <c r="F6" s="171">
        <f t="shared" ref="F6:F9" si="1">IF(E6="-","-",COUNTA(S6,V6,Y6,AB6,AE6,AH6,AK6,AN6,AQ6,AT6,AW6,AZ6,BC6,BF6,BI6,BL6,BO6,BR6,BU6,BX6,CD6,CG6,CJ6))</f>
        <v>3</v>
      </c>
      <c r="G6" s="171">
        <f t="shared" ref="G6:G9" si="2">IF(E6="-","-",SUM(R6:CJ6))</f>
        <v>698</v>
      </c>
      <c r="H6" s="172">
        <f t="shared" ref="H6:H9" si="3">IF(E6="-","-",MAX(R6:CK6))</f>
        <v>132</v>
      </c>
      <c r="I6" s="171"/>
      <c r="J6" s="173">
        <f t="shared" ref="J6:J9" si="4">IF(E6="-","-",IF(E6-F6=0,G6,G6/(E6-F6)))</f>
        <v>63.454545454545453</v>
      </c>
      <c r="K6" s="171" t="str">
        <f t="shared" ref="K6:K9" si="5">IF(E6=0,"",IF(E6-F6=0,"*",""))</f>
        <v/>
      </c>
      <c r="L6" s="121"/>
      <c r="M6" s="178">
        <f>IF(E6="-", "-",G6-((E6-F6)*7))</f>
        <v>621</v>
      </c>
      <c r="O6" s="294">
        <f t="shared" ref="O6:O9" si="6">IF(CQ6="-",IF(E6="-","-",IF(E6-F6=0,G6,G6/(E6-F6))),IF(E6="-",IF(CQ6-CR6=0,"-",CS6/(CQ6-CR6)),(CS6+G6)/IF(CQ6-CR6+E6-F6=0,1,CQ6-CR6+E6-F6)))</f>
        <v>56.732283464566926</v>
      </c>
      <c r="P6" s="177">
        <f t="shared" ref="P6:P9" si="7">IF(CQ6="-",IF(E6="-",CX6,IF((E6-F6)&lt;5,CX6,IF(O6&gt;=40,5,IF(O6&gt;=30,4,IF(O6&gt;=20,3,IF(O6&gt;=10,2,1)))))),IF(E6="-",IF((CQ6-CR6)&lt;5,CX6,IF(O6&gt;=40,5,IF(O6&gt;=30,4,IF(O6&gt;=20,3,IF(O6&gt;=10,2,1))))),IF((CQ6+E6-CR6-F6)&lt;5,CX6,IF(O6&gt;=40,5,IF(O6&gt;=30,4,IF(O6&gt;=20,3,IF(O6&gt;=10,2,1)))))))</f>
        <v>5</v>
      </c>
      <c r="Q6" s="121"/>
      <c r="R6" s="299"/>
      <c r="S6" s="300"/>
      <c r="T6" s="264"/>
      <c r="U6" s="299"/>
      <c r="V6" s="300"/>
      <c r="W6" s="264"/>
      <c r="X6" s="299">
        <v>9</v>
      </c>
      <c r="Y6" s="300"/>
      <c r="Z6" s="264"/>
      <c r="AA6" s="299">
        <v>40</v>
      </c>
      <c r="AB6" s="300"/>
      <c r="AC6" s="264"/>
      <c r="AD6" s="299">
        <v>104</v>
      </c>
      <c r="AE6" s="300" t="s">
        <v>117</v>
      </c>
      <c r="AF6" s="264"/>
      <c r="AG6" s="299"/>
      <c r="AH6" s="300"/>
      <c r="AI6" s="264"/>
      <c r="AJ6" s="299">
        <v>0</v>
      </c>
      <c r="AK6" s="300"/>
      <c r="AL6" s="264"/>
      <c r="AM6" s="299">
        <v>26</v>
      </c>
      <c r="AN6" s="300"/>
      <c r="AO6" s="264"/>
      <c r="AP6" s="299">
        <v>96</v>
      </c>
      <c r="AQ6" s="300"/>
      <c r="AR6" s="264"/>
      <c r="AS6" s="299">
        <v>132</v>
      </c>
      <c r="AT6" s="300"/>
      <c r="AU6" s="264"/>
      <c r="AV6" s="299">
        <v>5</v>
      </c>
      <c r="AW6" s="300"/>
      <c r="AX6" s="264"/>
      <c r="AY6" s="299">
        <v>75</v>
      </c>
      <c r="AZ6" s="300" t="s">
        <v>117</v>
      </c>
      <c r="BA6" s="264"/>
      <c r="BB6" s="299"/>
      <c r="BC6" s="300"/>
      <c r="BD6" s="264"/>
      <c r="BE6" s="299">
        <v>68</v>
      </c>
      <c r="BF6" s="300" t="s">
        <v>117</v>
      </c>
      <c r="BG6" s="264"/>
      <c r="BH6" s="299"/>
      <c r="BI6" s="300"/>
      <c r="BJ6" s="264"/>
      <c r="BK6" s="299">
        <v>59</v>
      </c>
      <c r="BL6" s="300"/>
      <c r="BM6" s="264"/>
      <c r="BN6" s="299">
        <v>0</v>
      </c>
      <c r="BO6" s="300"/>
      <c r="BP6" s="264"/>
      <c r="BQ6" s="299">
        <v>76</v>
      </c>
      <c r="BR6" s="300"/>
      <c r="BS6" s="264"/>
      <c r="BT6" s="299">
        <v>8</v>
      </c>
      <c r="BU6" s="300"/>
      <c r="BV6" s="264"/>
      <c r="BW6" s="299"/>
      <c r="BX6" s="300"/>
      <c r="BY6" s="264"/>
      <c r="BZ6" s="269"/>
      <c r="CA6" s="270"/>
      <c r="CB6" s="268"/>
      <c r="CC6" s="269"/>
      <c r="CD6" s="270"/>
      <c r="CE6" s="270"/>
      <c r="CF6" s="269"/>
      <c r="CG6" s="268"/>
      <c r="CH6" s="268"/>
      <c r="CI6" s="269"/>
      <c r="CJ6" s="268"/>
      <c r="CP6" s="296">
        <v>145</v>
      </c>
      <c r="CQ6" s="296">
        <v>142</v>
      </c>
      <c r="CR6" s="296">
        <v>26</v>
      </c>
      <c r="CS6" s="296">
        <v>6507</v>
      </c>
      <c r="CT6" s="172">
        <v>144</v>
      </c>
      <c r="CU6" s="171" t="s">
        <v>117</v>
      </c>
      <c r="CV6" s="297">
        <f>IF(CQ6="-","-",IF(CQ6-CR6=0,CS6,CS6/(CQ6-CR6)))</f>
        <v>56.094827586206897</v>
      </c>
      <c r="CX6" s="177"/>
      <c r="DO6" s="154"/>
      <c r="EQ6" s="119"/>
      <c r="ER6" s="119"/>
      <c r="ES6" s="119"/>
      <c r="ET6" s="119"/>
      <c r="EU6" s="119"/>
      <c r="EV6" s="119"/>
      <c r="EW6" s="119"/>
      <c r="EX6" s="119"/>
      <c r="EY6" s="119"/>
      <c r="EZ6" s="119"/>
      <c r="FA6" s="119"/>
      <c r="FB6" s="119"/>
      <c r="FC6" s="119"/>
      <c r="FD6" s="119"/>
      <c r="FE6" s="119"/>
    </row>
    <row r="7" spans="2:237" x14ac:dyDescent="0.2">
      <c r="B7" s="158" t="s">
        <v>167</v>
      </c>
      <c r="C7" s="159" t="s">
        <v>189</v>
      </c>
      <c r="D7" s="171">
        <f t="shared" si="0"/>
        <v>11</v>
      </c>
      <c r="E7" s="171">
        <f>IF(COUNT(R7,U7,X7,AA7,AD7,AG7,AJ7,AM7,AP7,AS7,AV7,AY7,BB7,BE7,BH7,BK7,BN7,BQ7,BT7,BW7,CC7,CF7,CI7)=0,"-",COUNT(R7,U7,X7,AA7,AD7,AG7,AJ7,AM7,AP7,AS7,AV7,AY7,BB7,BE7,BH7,BK7,BN7,BQ7,BT7,BW7,CC7,CF7,CB))</f>
        <v>10</v>
      </c>
      <c r="F7" s="171">
        <f t="shared" si="1"/>
        <v>1</v>
      </c>
      <c r="G7" s="171">
        <f t="shared" si="2"/>
        <v>425</v>
      </c>
      <c r="H7" s="172">
        <f t="shared" si="3"/>
        <v>85</v>
      </c>
      <c r="I7" s="171"/>
      <c r="J7" s="173">
        <f t="shared" si="4"/>
        <v>47.222222222222221</v>
      </c>
      <c r="K7" s="171" t="str">
        <f t="shared" si="5"/>
        <v/>
      </c>
      <c r="L7" s="121"/>
      <c r="M7" s="178">
        <f t="shared" ref="M7:M9" si="8">IF(E7="-", "-",G7-((E7-F7)*7))</f>
        <v>362</v>
      </c>
      <c r="O7" s="294">
        <f t="shared" si="6"/>
        <v>40.421052631578945</v>
      </c>
      <c r="P7" s="177">
        <f t="shared" si="7"/>
        <v>5</v>
      </c>
      <c r="Q7" s="121"/>
      <c r="R7" s="299"/>
      <c r="S7" s="300"/>
      <c r="T7" s="266"/>
      <c r="U7" s="299"/>
      <c r="V7" s="300"/>
      <c r="W7" s="266"/>
      <c r="X7" s="299">
        <v>59</v>
      </c>
      <c r="Y7" s="300" t="s">
        <v>117</v>
      </c>
      <c r="Z7" s="266"/>
      <c r="AA7" s="299">
        <v>42</v>
      </c>
      <c r="AB7" s="300"/>
      <c r="AC7" s="266"/>
      <c r="AD7" s="299">
        <v>50</v>
      </c>
      <c r="AE7" s="300"/>
      <c r="AF7" s="266"/>
      <c r="AG7" s="299"/>
      <c r="AH7" s="300"/>
      <c r="AI7" s="266"/>
      <c r="AJ7" s="299">
        <v>26</v>
      </c>
      <c r="AK7" s="300"/>
      <c r="AL7" s="266"/>
      <c r="AM7" s="299"/>
      <c r="AN7" s="300"/>
      <c r="AO7" s="266"/>
      <c r="AP7" s="299"/>
      <c r="AQ7" s="300"/>
      <c r="AR7" s="266"/>
      <c r="AS7" s="299"/>
      <c r="AT7" s="300"/>
      <c r="AU7" s="266"/>
      <c r="AV7" s="299">
        <v>19</v>
      </c>
      <c r="AW7" s="300"/>
      <c r="AX7" s="266"/>
      <c r="AY7" s="299">
        <v>9</v>
      </c>
      <c r="AZ7" s="300"/>
      <c r="BA7" s="266"/>
      <c r="BB7" s="299"/>
      <c r="BC7" s="300"/>
      <c r="BD7" s="266"/>
      <c r="BE7" s="299" t="s">
        <v>192</v>
      </c>
      <c r="BF7" s="300"/>
      <c r="BG7" s="266"/>
      <c r="BH7" s="299"/>
      <c r="BI7" s="300"/>
      <c r="BJ7" s="266"/>
      <c r="BK7" s="299">
        <v>85</v>
      </c>
      <c r="BL7" s="300"/>
      <c r="BM7" s="266"/>
      <c r="BN7" s="299">
        <v>37</v>
      </c>
      <c r="BO7" s="300"/>
      <c r="BP7" s="266"/>
      <c r="BQ7" s="299">
        <v>72</v>
      </c>
      <c r="BR7" s="300"/>
      <c r="BS7" s="266"/>
      <c r="BT7" s="299">
        <v>26</v>
      </c>
      <c r="BU7" s="300"/>
      <c r="BV7" s="266"/>
      <c r="BW7" s="299"/>
      <c r="BX7" s="300"/>
      <c r="BY7" s="266"/>
      <c r="BZ7" s="269"/>
      <c r="CA7" s="269"/>
      <c r="CB7" s="269"/>
      <c r="CC7" s="269"/>
      <c r="CD7" s="269"/>
      <c r="CE7" s="269"/>
      <c r="CF7" s="269"/>
      <c r="CG7" s="268"/>
      <c r="CH7" s="268"/>
      <c r="CI7" s="269"/>
      <c r="CJ7" s="268"/>
      <c r="CP7" s="296">
        <v>14</v>
      </c>
      <c r="CQ7" s="296">
        <v>11</v>
      </c>
      <c r="CR7" s="296">
        <v>1</v>
      </c>
      <c r="CS7" s="296">
        <v>343</v>
      </c>
      <c r="CT7" s="172">
        <v>66</v>
      </c>
      <c r="CU7" s="171" t="s">
        <v>117</v>
      </c>
      <c r="CV7" s="297">
        <f>IF(CQ7="-","-",IF(CQ7-CR7=0,CS7,CS7/(CQ7-CR7)))</f>
        <v>34.299999999999997</v>
      </c>
      <c r="CX7" s="298"/>
      <c r="EQ7" s="119"/>
      <c r="ER7" s="119"/>
      <c r="ES7" s="119"/>
      <c r="ET7" s="119"/>
      <c r="EU7" s="119"/>
      <c r="EV7" s="119"/>
      <c r="EW7" s="119"/>
      <c r="EX7" s="119"/>
      <c r="EY7" s="119"/>
      <c r="EZ7" s="119"/>
      <c r="FA7" s="119"/>
      <c r="FB7" s="119"/>
      <c r="FC7" s="119"/>
      <c r="FD7" s="119"/>
      <c r="FE7" s="119"/>
    </row>
    <row r="8" spans="2:237" ht="13.5" customHeight="1" x14ac:dyDescent="0.2">
      <c r="B8" s="158" t="s">
        <v>216</v>
      </c>
      <c r="C8" s="159" t="s">
        <v>189</v>
      </c>
      <c r="D8" s="171">
        <f>COUNTA(R8,U8,X8,AA8,AD8,AG8,AJ8,AM8,AP8,AS8,AV8,AY8,BB8,BE8,BH8,BK8,BN8,BQ8,BT8,BW8,CC8,CF8,CI8)</f>
        <v>12</v>
      </c>
      <c r="E8" s="171">
        <f>IF(COUNT(R8,U8,X8,AA8,AD8,AG8,AJ8,AM8,AP8,AS8,AV8,AY8,BB8,BE8,BH8,BK8,BN8,BQ8,BT8,BW8,CC8,CF8,CI8)=0,"-",COUNT(R8,U8,X8,AA8,AD8,AG8,AJ8,AM8,AP8,AS8,AV8,AY8,BB8,BE8,BH8,BK8,BN8,BQ8,BT8,BW8,CC8,CF8,CB))</f>
        <v>11</v>
      </c>
      <c r="F8" s="171">
        <f>IF(E8="-","-",COUNTA(S8,V8,Y8,AB8,AE8,AH8,AK8,AN8,AQ8,AT8,AW8,AZ8,BC8,BF8,BI8,BL8,BO8,BR8,BU8,BX8,CD8,CG8,CJ8))</f>
        <v>1</v>
      </c>
      <c r="G8" s="171">
        <f>IF(E8="-","-",SUM(R8:CJ8))</f>
        <v>208</v>
      </c>
      <c r="H8" s="172">
        <f>IF(E8="-","-",MAX(R8:CK8))</f>
        <v>49</v>
      </c>
      <c r="I8" s="171"/>
      <c r="J8" s="173">
        <f>IF(E8="-","-",IF(E8-F8=0,G8,G8/(E8-F8)))</f>
        <v>20.8</v>
      </c>
      <c r="K8" s="171" t="str">
        <f>IF(E8=0,"",IF(E8-F8=0,"*",""))</f>
        <v/>
      </c>
      <c r="L8" s="121"/>
      <c r="M8" s="178">
        <f>IF(E8="-", "-",G8-((E8-F8)*7))</f>
        <v>138</v>
      </c>
      <c r="O8" s="294">
        <f>IF(CQ8="-",IF(E8="-","-",IF(E8-F8=0,G8,G8/(E8-F8))),IF(E8="-",IF(CQ8-CR8=0,"-",CS8/(CQ8-CR8)),(CS8+G8)/IF(CQ8-CR8+E8-F8=0,1,CQ8-CR8+E8-F8)))</f>
        <v>20.8</v>
      </c>
      <c r="P8" s="177">
        <f>IF(CQ8="-",IF(E8="-",CX8,IF((E8-F8)&lt;5,CX8,IF(O8&gt;=40,5,IF(O8&gt;=30,4,IF(O8&gt;=20,3,IF(O8&gt;=10,2,1)))))),IF(E8="-",IF((CQ8-CR8)&lt;5,CX8,IF(O8&gt;=40,5,IF(O8&gt;=30,4,IF(O8&gt;=20,3,IF(O8&gt;=10,2,1))))),IF((CQ8+E8-CR8-F8)&lt;5,CX8,IF(O8&gt;=40,5,IF(O8&gt;=30,4,IF(O8&gt;=20,3,IF(O8&gt;=10,2,1)))))))</f>
        <v>3</v>
      </c>
      <c r="Q8" s="121"/>
      <c r="R8" s="299"/>
      <c r="S8" s="300"/>
      <c r="T8" s="266"/>
      <c r="U8" s="299"/>
      <c r="V8" s="300"/>
      <c r="W8" s="266"/>
      <c r="X8" s="299">
        <v>9</v>
      </c>
      <c r="Y8" s="300"/>
      <c r="Z8" s="266"/>
      <c r="AA8" s="299">
        <v>8</v>
      </c>
      <c r="AB8" s="300"/>
      <c r="AC8" s="266"/>
      <c r="AD8" s="299">
        <v>14</v>
      </c>
      <c r="AE8" s="300"/>
      <c r="AF8" s="266"/>
      <c r="AG8" s="299"/>
      <c r="AH8" s="300"/>
      <c r="AI8" s="266"/>
      <c r="AJ8" s="299"/>
      <c r="AK8" s="300"/>
      <c r="AL8" s="266"/>
      <c r="AM8" s="299">
        <v>49</v>
      </c>
      <c r="AN8" s="300"/>
      <c r="AO8" s="266"/>
      <c r="AP8" s="299">
        <v>0</v>
      </c>
      <c r="AQ8" s="300"/>
      <c r="AR8" s="266"/>
      <c r="AS8" s="299">
        <v>30</v>
      </c>
      <c r="AT8" s="300"/>
      <c r="AU8" s="266"/>
      <c r="AV8" s="299">
        <v>31</v>
      </c>
      <c r="AW8" s="300"/>
      <c r="AX8" s="266"/>
      <c r="AY8" s="299"/>
      <c r="AZ8" s="300"/>
      <c r="BA8" s="266"/>
      <c r="BB8" s="299"/>
      <c r="BC8" s="300"/>
      <c r="BD8" s="266"/>
      <c r="BE8" s="299">
        <v>32</v>
      </c>
      <c r="BF8" s="300"/>
      <c r="BG8" s="266"/>
      <c r="BH8" s="299"/>
      <c r="BI8" s="300"/>
      <c r="BJ8" s="266"/>
      <c r="BK8" s="299">
        <v>14</v>
      </c>
      <c r="BL8" s="300"/>
      <c r="BM8" s="266"/>
      <c r="BN8" s="299" t="s">
        <v>192</v>
      </c>
      <c r="BO8" s="300"/>
      <c r="BP8" s="266"/>
      <c r="BQ8" s="299">
        <v>21</v>
      </c>
      <c r="BR8" s="300" t="s">
        <v>117</v>
      </c>
      <c r="BS8" s="266"/>
      <c r="BT8" s="299">
        <v>0</v>
      </c>
      <c r="BU8" s="300"/>
      <c r="BV8" s="266"/>
      <c r="BW8" s="299"/>
      <c r="BX8" s="300"/>
      <c r="BY8" s="266"/>
      <c r="BZ8" s="269"/>
      <c r="CA8" s="269"/>
      <c r="CB8" s="269"/>
      <c r="CC8" s="269"/>
      <c r="CD8" s="269"/>
      <c r="CE8" s="269"/>
      <c r="CF8" s="269"/>
      <c r="CG8" s="268"/>
      <c r="CH8" s="268"/>
      <c r="CI8" s="269"/>
      <c r="CJ8" s="268"/>
      <c r="CP8" s="296"/>
      <c r="CQ8" s="296"/>
      <c r="CR8" s="296"/>
      <c r="CS8" s="296"/>
      <c r="CT8" s="172"/>
      <c r="CU8" s="171"/>
      <c r="CV8" s="297"/>
      <c r="CX8" s="298"/>
      <c r="EQ8" s="119"/>
      <c r="ER8" s="119"/>
      <c r="ES8" s="119"/>
      <c r="ET8" s="119"/>
      <c r="EU8" s="119"/>
      <c r="EV8" s="119"/>
      <c r="EW8" s="119"/>
      <c r="EX8" s="119"/>
      <c r="EY8" s="119"/>
      <c r="EZ8" s="119"/>
      <c r="FA8" s="119"/>
      <c r="FB8" s="119"/>
      <c r="FC8" s="119"/>
      <c r="FD8" s="119"/>
      <c r="FE8" s="119"/>
    </row>
    <row r="9" spans="2:237" ht="13.5" customHeight="1" x14ac:dyDescent="0.2">
      <c r="B9" s="158" t="s">
        <v>185</v>
      </c>
      <c r="C9" s="159" t="s">
        <v>188</v>
      </c>
      <c r="D9" s="171">
        <f t="shared" si="0"/>
        <v>13</v>
      </c>
      <c r="E9" s="171">
        <f>IF(COUNT(R9,U9,X9,AA9,AD9,AG9,AJ9,AM9,AP9,AS9,AV9,AY9,BB9,BE9,BH9,BK9,BN9,BQ9,BT9,BW9,CC9,CF9,CI9)=0,"-",COUNT(R9,U9,X9,AA9,AD9,AG9,AJ9,AM9,AP9,AS9,AV9,AY9,BB9,BE9,BH9,BK9,BN9,BQ9,BT9,BW9,CC9,CF9,CB))</f>
        <v>13</v>
      </c>
      <c r="F9" s="171">
        <f t="shared" si="1"/>
        <v>1</v>
      </c>
      <c r="G9" s="171">
        <f t="shared" si="2"/>
        <v>265</v>
      </c>
      <c r="H9" s="172">
        <f t="shared" si="3"/>
        <v>45</v>
      </c>
      <c r="I9" s="171"/>
      <c r="J9" s="173">
        <f t="shared" si="4"/>
        <v>22.083333333333332</v>
      </c>
      <c r="K9" s="171" t="str">
        <f t="shared" si="5"/>
        <v/>
      </c>
      <c r="L9" s="121"/>
      <c r="M9" s="178">
        <f t="shared" si="8"/>
        <v>181</v>
      </c>
      <c r="O9" s="294">
        <f t="shared" si="6"/>
        <v>21.666666666666668</v>
      </c>
      <c r="P9" s="177">
        <f t="shared" si="7"/>
        <v>3</v>
      </c>
      <c r="Q9" s="121"/>
      <c r="R9" s="299"/>
      <c r="S9" s="300"/>
      <c r="T9" s="266"/>
      <c r="U9" s="299"/>
      <c r="V9" s="300"/>
      <c r="W9" s="266"/>
      <c r="X9" s="299">
        <v>10</v>
      </c>
      <c r="Y9" s="300"/>
      <c r="Z9" s="266"/>
      <c r="AA9" s="299">
        <v>32</v>
      </c>
      <c r="AB9" s="300"/>
      <c r="AC9" s="266"/>
      <c r="AD9" s="299">
        <v>29</v>
      </c>
      <c r="AE9" s="300"/>
      <c r="AF9" s="266"/>
      <c r="AG9" s="299"/>
      <c r="AH9" s="300"/>
      <c r="AI9" s="266"/>
      <c r="AJ9" s="299"/>
      <c r="AK9" s="300"/>
      <c r="AL9" s="266"/>
      <c r="AM9" s="299">
        <v>15</v>
      </c>
      <c r="AN9" s="300"/>
      <c r="AO9" s="266"/>
      <c r="AP9" s="299">
        <v>29</v>
      </c>
      <c r="AQ9" s="300"/>
      <c r="AR9" s="266"/>
      <c r="AS9" s="299">
        <v>45</v>
      </c>
      <c r="AT9" s="300"/>
      <c r="AU9" s="266"/>
      <c r="AV9" s="299">
        <v>21</v>
      </c>
      <c r="AW9" s="300"/>
      <c r="AX9" s="266"/>
      <c r="AY9" s="299">
        <v>0</v>
      </c>
      <c r="AZ9" s="300"/>
      <c r="BA9" s="266"/>
      <c r="BB9" s="299"/>
      <c r="BC9" s="300"/>
      <c r="BD9" s="266"/>
      <c r="BE9" s="299">
        <v>32</v>
      </c>
      <c r="BF9" s="300" t="s">
        <v>117</v>
      </c>
      <c r="BG9" s="266"/>
      <c r="BH9" s="299"/>
      <c r="BI9" s="300"/>
      <c r="BJ9" s="266"/>
      <c r="BK9" s="299">
        <v>0</v>
      </c>
      <c r="BL9" s="300"/>
      <c r="BM9" s="266"/>
      <c r="BN9" s="299">
        <v>12</v>
      </c>
      <c r="BO9" s="300"/>
      <c r="BP9" s="266"/>
      <c r="BQ9" s="299">
        <v>28</v>
      </c>
      <c r="BR9" s="300"/>
      <c r="BS9" s="266"/>
      <c r="BT9" s="299">
        <v>12</v>
      </c>
      <c r="BU9" s="300"/>
      <c r="BV9" s="266"/>
      <c r="BW9" s="299"/>
      <c r="BX9" s="300"/>
      <c r="BY9" s="266"/>
      <c r="BZ9" s="269"/>
      <c r="CA9" s="269"/>
      <c r="CB9" s="269"/>
      <c r="CC9" s="269"/>
      <c r="CD9" s="269"/>
      <c r="CE9" s="269"/>
      <c r="CF9" s="269"/>
      <c r="CG9" s="268"/>
      <c r="CH9" s="268"/>
      <c r="CI9" s="269"/>
      <c r="CJ9" s="268"/>
      <c r="CP9" s="296">
        <v>3</v>
      </c>
      <c r="CQ9" s="296">
        <v>3</v>
      </c>
      <c r="CR9" s="296">
        <v>0</v>
      </c>
      <c r="CS9" s="296">
        <v>60</v>
      </c>
      <c r="CT9" s="172">
        <v>32</v>
      </c>
      <c r="CU9" s="171"/>
      <c r="CV9" s="297">
        <f>IF(CQ9="-","-",IF(CQ9-CR9=0,CS9,CS9/(CQ9-CR9)))</f>
        <v>20</v>
      </c>
      <c r="CX9" s="298"/>
      <c r="EQ9" s="119"/>
      <c r="ER9" s="119"/>
      <c r="ES9" s="119"/>
      <c r="ET9" s="119"/>
      <c r="EU9" s="119"/>
      <c r="EV9" s="119"/>
      <c r="EW9" s="119"/>
      <c r="EX9" s="119"/>
      <c r="EY9" s="119"/>
      <c r="EZ9" s="119"/>
      <c r="FA9" s="119"/>
      <c r="FB9" s="119"/>
      <c r="FC9" s="119"/>
      <c r="FD9" s="119"/>
      <c r="FE9" s="119"/>
    </row>
    <row r="10" spans="2:237" x14ac:dyDescent="0.2">
      <c r="B10" s="272"/>
      <c r="C10" s="272"/>
      <c r="D10" s="273"/>
      <c r="E10" s="273"/>
      <c r="F10" s="273"/>
      <c r="G10" s="273"/>
      <c r="H10" s="273"/>
      <c r="I10" s="273"/>
      <c r="J10" s="273"/>
      <c r="K10" s="273"/>
      <c r="L10" s="124"/>
      <c r="M10" s="273"/>
      <c r="N10" s="274"/>
      <c r="O10" s="275"/>
      <c r="P10" s="275"/>
      <c r="R10" s="275"/>
      <c r="S10" s="276"/>
      <c r="U10" s="275"/>
      <c r="V10" s="276"/>
      <c r="W10" s="275"/>
      <c r="X10" s="275"/>
      <c r="Y10" s="276"/>
      <c r="AA10" s="275"/>
      <c r="AB10" s="276"/>
      <c r="AD10" s="275"/>
      <c r="AE10" s="276"/>
      <c r="AG10" s="275"/>
      <c r="AH10" s="276"/>
      <c r="AJ10" s="275"/>
      <c r="AK10" s="276"/>
      <c r="AM10" s="275"/>
      <c r="AN10" s="276"/>
      <c r="AP10" s="275"/>
      <c r="AQ10" s="276"/>
      <c r="AS10" s="275"/>
      <c r="AT10" s="276"/>
      <c r="AV10" s="275"/>
      <c r="AW10" s="276"/>
      <c r="AY10" s="275"/>
      <c r="AZ10" s="276"/>
      <c r="BB10" s="275"/>
      <c r="BC10" s="276"/>
      <c r="BE10" s="275"/>
      <c r="BF10" s="276"/>
      <c r="BH10" s="275"/>
      <c r="BI10" s="276"/>
      <c r="BK10" s="275"/>
      <c r="BL10" s="276"/>
      <c r="BN10" s="275"/>
      <c r="BO10" s="276"/>
      <c r="BQ10" s="275"/>
      <c r="BR10" s="276"/>
      <c r="BT10" s="275"/>
      <c r="BU10" s="276"/>
      <c r="BW10" s="275"/>
      <c r="BX10" s="276"/>
      <c r="BZ10" s="239"/>
      <c r="CA10" s="239"/>
      <c r="CB10" s="239"/>
      <c r="CC10" s="239"/>
      <c r="CD10" s="239"/>
      <c r="CP10" s="275"/>
      <c r="CQ10" s="275"/>
      <c r="CR10" s="275"/>
      <c r="CS10" s="275"/>
      <c r="CT10" s="275"/>
      <c r="CU10" s="275"/>
      <c r="CV10" s="275"/>
      <c r="CX10" s="275"/>
    </row>
    <row r="11" spans="2:237" ht="13.5" customHeight="1" x14ac:dyDescent="0.2">
      <c r="B11" s="278"/>
      <c r="C11" s="278"/>
      <c r="D11" s="124"/>
      <c r="E11" s="124"/>
      <c r="F11" s="124"/>
      <c r="G11" s="124"/>
      <c r="H11" s="124"/>
      <c r="I11" s="124"/>
      <c r="J11" s="124"/>
      <c r="K11" s="124"/>
      <c r="L11" s="124"/>
      <c r="M11" s="277"/>
      <c r="N11" s="277"/>
      <c r="O11" s="167" t="s">
        <v>172</v>
      </c>
      <c r="P11" s="457" t="s">
        <v>173</v>
      </c>
      <c r="R11" s="239"/>
      <c r="S11" s="277"/>
      <c r="U11" s="239"/>
      <c r="V11" s="277"/>
      <c r="X11" s="239"/>
      <c r="Y11" s="277"/>
      <c r="AA11" s="239"/>
      <c r="AB11" s="277"/>
      <c r="AD11" s="239"/>
      <c r="AE11" s="277"/>
      <c r="AG11" s="239"/>
      <c r="AH11" s="277"/>
      <c r="AJ11" s="239"/>
      <c r="AK11" s="277"/>
      <c r="AM11" s="239"/>
      <c r="AN11" s="277"/>
      <c r="AP11" s="239"/>
      <c r="AQ11" s="277"/>
      <c r="AS11" s="239"/>
      <c r="AT11" s="277"/>
      <c r="AV11" s="239"/>
      <c r="AW11" s="277"/>
      <c r="AY11" s="239"/>
      <c r="AZ11" s="277"/>
      <c r="BB11" s="239"/>
      <c r="BC11" s="277"/>
      <c r="BE11" s="239"/>
      <c r="BF11" s="277"/>
      <c r="BH11" s="239"/>
      <c r="BI11" s="277"/>
      <c r="BK11" s="239"/>
      <c r="BL11" s="277"/>
      <c r="BN11" s="239"/>
      <c r="BO11" s="277"/>
      <c r="BQ11" s="239"/>
      <c r="BR11" s="277"/>
      <c r="BT11" s="239"/>
      <c r="BU11" s="277"/>
      <c r="BW11" s="239"/>
      <c r="BX11" s="277"/>
      <c r="BZ11" s="239"/>
      <c r="CA11" s="239"/>
      <c r="CB11" s="239"/>
      <c r="CC11" s="239"/>
      <c r="CD11" s="239"/>
      <c r="EQ11" s="119"/>
      <c r="ER11" s="119"/>
      <c r="ES11" s="119"/>
      <c r="ET11" s="119"/>
      <c r="EU11" s="119"/>
      <c r="EV11" s="119"/>
      <c r="EW11" s="119"/>
      <c r="EX11" s="119"/>
      <c r="EY11" s="119"/>
      <c r="EZ11" s="119"/>
      <c r="FA11" s="119"/>
      <c r="FB11" s="119"/>
    </row>
    <row r="12" spans="2:237" ht="13.5" customHeight="1" x14ac:dyDescent="0.2">
      <c r="B12" s="278"/>
      <c r="C12" s="279"/>
      <c r="D12" s="124"/>
      <c r="E12" s="124"/>
      <c r="F12" s="124"/>
      <c r="G12" s="124"/>
      <c r="H12" s="124"/>
      <c r="I12" s="124"/>
      <c r="J12" s="124"/>
      <c r="K12" s="124"/>
      <c r="L12" s="121"/>
      <c r="M12" s="179" t="s">
        <v>17</v>
      </c>
      <c r="N12" s="118"/>
      <c r="O12" s="236" t="s">
        <v>14</v>
      </c>
      <c r="P12" s="458"/>
      <c r="Q12" s="121"/>
      <c r="R12" s="239"/>
      <c r="S12" s="277"/>
      <c r="T12" s="277"/>
      <c r="U12" s="239"/>
      <c r="V12" s="277"/>
      <c r="W12" s="277"/>
      <c r="X12" s="239"/>
      <c r="Y12" s="277"/>
      <c r="Z12" s="277"/>
      <c r="AA12" s="239"/>
      <c r="AB12" s="277"/>
      <c r="AC12" s="277"/>
      <c r="AD12" s="239"/>
      <c r="AE12" s="277"/>
      <c r="AF12" s="277"/>
      <c r="AG12" s="239"/>
      <c r="AH12" s="277"/>
      <c r="AI12" s="277"/>
      <c r="AJ12" s="239"/>
      <c r="AK12" s="277"/>
      <c r="AL12" s="277"/>
      <c r="AM12" s="239"/>
      <c r="AN12" s="277"/>
      <c r="AO12" s="277"/>
      <c r="AP12" s="239"/>
      <c r="AQ12" s="277"/>
      <c r="AR12" s="277"/>
      <c r="AS12" s="239"/>
      <c r="AT12" s="277"/>
      <c r="AU12" s="277"/>
      <c r="AV12" s="239"/>
      <c r="AW12" s="277"/>
      <c r="AX12" s="277"/>
      <c r="AY12" s="239"/>
      <c r="AZ12" s="277"/>
      <c r="BA12" s="277"/>
      <c r="BB12" s="239"/>
      <c r="BC12" s="277"/>
      <c r="BD12" s="277"/>
      <c r="BE12" s="239"/>
      <c r="BF12" s="277"/>
      <c r="BG12" s="277"/>
      <c r="BH12" s="239"/>
      <c r="BI12" s="277"/>
      <c r="BJ12" s="277"/>
      <c r="BK12" s="239"/>
      <c r="BL12" s="277"/>
      <c r="BM12" s="277"/>
      <c r="BN12" s="239"/>
      <c r="BO12" s="277"/>
      <c r="BP12" s="277"/>
      <c r="BQ12" s="239"/>
      <c r="BR12" s="277"/>
      <c r="BS12" s="277"/>
      <c r="BT12" s="239"/>
      <c r="BU12" s="277"/>
      <c r="BV12" s="277"/>
      <c r="BW12" s="239"/>
      <c r="BX12" s="277"/>
      <c r="BY12" s="277"/>
      <c r="BZ12" s="239"/>
      <c r="CA12" s="239"/>
      <c r="CB12" s="239"/>
      <c r="CC12" s="239"/>
      <c r="CD12" s="239"/>
      <c r="CL12" s="239"/>
      <c r="CM12" s="239"/>
      <c r="CN12" s="239"/>
      <c r="CP12" s="448" t="s">
        <v>18</v>
      </c>
      <c r="CQ12" s="449"/>
      <c r="CR12" s="449"/>
      <c r="CS12" s="449"/>
      <c r="CT12" s="449"/>
      <c r="CU12" s="449"/>
      <c r="CV12" s="450"/>
      <c r="CW12" s="118" t="s">
        <v>19</v>
      </c>
      <c r="CX12" s="168" t="s">
        <v>20</v>
      </c>
      <c r="CZ12" s="239"/>
      <c r="EQ12" s="119"/>
      <c r="ER12" s="119"/>
      <c r="ES12" s="119"/>
      <c r="ET12" s="119"/>
      <c r="EU12" s="119"/>
      <c r="EV12" s="119"/>
      <c r="EW12" s="119"/>
      <c r="EX12" s="119"/>
      <c r="EY12" s="119"/>
      <c r="EZ12" s="119"/>
      <c r="FA12" s="119"/>
    </row>
    <row r="13" spans="2:237" ht="13.5" customHeight="1" x14ac:dyDescent="0.2">
      <c r="B13" s="181" t="s">
        <v>54</v>
      </c>
      <c r="C13" s="238"/>
      <c r="D13" s="189" t="s">
        <v>22</v>
      </c>
      <c r="E13" s="187" t="s">
        <v>23</v>
      </c>
      <c r="F13" s="187" t="s">
        <v>24</v>
      </c>
      <c r="G13" s="187" t="s">
        <v>25</v>
      </c>
      <c r="H13" s="191" t="s">
        <v>26</v>
      </c>
      <c r="I13" s="192"/>
      <c r="J13" s="191" t="s">
        <v>27</v>
      </c>
      <c r="K13" s="192"/>
      <c r="L13" s="121"/>
      <c r="M13" s="180" t="s">
        <v>28</v>
      </c>
      <c r="N13" s="118"/>
      <c r="O13" s="237" t="s">
        <v>27</v>
      </c>
      <c r="P13" s="180" t="s">
        <v>110</v>
      </c>
      <c r="Q13" s="121"/>
      <c r="R13" s="281"/>
      <c r="S13" s="282"/>
      <c r="U13" s="281"/>
      <c r="V13" s="282"/>
      <c r="X13" s="281"/>
      <c r="Y13" s="282"/>
      <c r="AA13" s="281"/>
      <c r="AB13" s="282"/>
      <c r="AD13" s="281"/>
      <c r="AE13" s="282"/>
      <c r="AG13" s="281"/>
      <c r="AH13" s="282"/>
      <c r="AJ13" s="281"/>
      <c r="AK13" s="282"/>
      <c r="AM13" s="281"/>
      <c r="AN13" s="282"/>
      <c r="AP13" s="281"/>
      <c r="AQ13" s="282"/>
      <c r="AS13" s="281"/>
      <c r="AT13" s="282"/>
      <c r="AV13" s="281"/>
      <c r="AW13" s="282"/>
      <c r="AY13" s="281"/>
      <c r="AZ13" s="282"/>
      <c r="BB13" s="281"/>
      <c r="BC13" s="282"/>
      <c r="BE13" s="281"/>
      <c r="BF13" s="282"/>
      <c r="BH13" s="281"/>
      <c r="BI13" s="282"/>
      <c r="BK13" s="281"/>
      <c r="BL13" s="282"/>
      <c r="BN13" s="281"/>
      <c r="BO13" s="282"/>
      <c r="BQ13" s="281"/>
      <c r="BR13" s="282"/>
      <c r="BT13" s="281"/>
      <c r="BU13" s="282"/>
      <c r="BW13" s="281"/>
      <c r="BX13" s="282"/>
      <c r="BZ13" s="239"/>
      <c r="CA13" s="277"/>
      <c r="CB13" s="239"/>
      <c r="CC13" s="239"/>
      <c r="CD13" s="277"/>
      <c r="CP13" s="187" t="s">
        <v>22</v>
      </c>
      <c r="CQ13" s="187" t="s">
        <v>23</v>
      </c>
      <c r="CR13" s="187" t="s">
        <v>24</v>
      </c>
      <c r="CS13" s="187" t="s">
        <v>25</v>
      </c>
      <c r="CT13" s="191" t="s">
        <v>26</v>
      </c>
      <c r="CU13" s="192"/>
      <c r="CV13" s="187" t="s">
        <v>27</v>
      </c>
      <c r="CW13" s="118" t="s">
        <v>19</v>
      </c>
      <c r="CX13" s="169" t="s">
        <v>30</v>
      </c>
      <c r="CY13" s="119" t="s">
        <v>19</v>
      </c>
      <c r="EQ13" s="119"/>
      <c r="ER13" s="119"/>
      <c r="ES13" s="119"/>
      <c r="ET13" s="119"/>
      <c r="EU13" s="119"/>
      <c r="EV13" s="119"/>
      <c r="EW13" s="119"/>
      <c r="EX13" s="119"/>
      <c r="EY13" s="119"/>
      <c r="EZ13" s="119"/>
      <c r="FA13" s="119"/>
    </row>
    <row r="14" spans="2:237" ht="13.5" customHeight="1" x14ac:dyDescent="0.2">
      <c r="B14" s="158" t="s">
        <v>206</v>
      </c>
      <c r="C14" s="159" t="s">
        <v>188</v>
      </c>
      <c r="D14" s="171">
        <f t="shared" ref="D14:D41" si="9">COUNTA(R14,U14,X14,AA14,AD14,AG14,AJ14,AM14,AP14,AS14,AV14,AY14,BB14,BE14,BH14,BK14,BN14,BQ14,BT14,BW14,CC14,CF14,CI14)</f>
        <v>8</v>
      </c>
      <c r="E14" s="171">
        <f>IF(COUNT(R14,U14,X14,AA14,AD14,AG14,AJ14,AM14,AP14,AS14,AV14,AY14,BB14,BE14,BH14,BK14,BN14,BQ14,BT14,BW14,CC14,CF14,CI14)=0,"-",COUNT(R14,U14,X14,AA14,AD14,AG14,AJ14,AM14,AP14,AS14,AV14,AY14,BB14,BE14,BH14,BK14,BN14,BQ14,BT14,BW14,CC14,CF14,CB))</f>
        <v>7</v>
      </c>
      <c r="F14" s="171">
        <f t="shared" ref="F14:F41" si="10">IF(E14="-","-",COUNTA(S14,V14,Y14,AB14,AE14,AH14,AK14,AN14,AQ14,AT14,AW14,AZ14,BC14,BF14,BI14,BL14,BO14,BR14,BU14,BX14,CD14,CG14,CJ14))</f>
        <v>0</v>
      </c>
      <c r="G14" s="171">
        <f t="shared" ref="G14:G41" si="11">IF(E14="-","-",SUM(R14:CJ14))</f>
        <v>124</v>
      </c>
      <c r="H14" s="172">
        <f t="shared" ref="H14:H41" si="12">IF(E14="-","-",MAX(R14:CK14))</f>
        <v>30</v>
      </c>
      <c r="I14" s="171"/>
      <c r="J14" s="295">
        <f t="shared" ref="J14:J41" si="13">IF(E14="-","-",IF(E14-F14=0,G14,G14/(E14-F14)))</f>
        <v>17.714285714285715</v>
      </c>
      <c r="K14" s="171" t="str">
        <f t="shared" ref="K14:K41" si="14">IF(E14=0,"",IF(E14-F14=0,"*",""))</f>
        <v/>
      </c>
      <c r="L14" s="121"/>
      <c r="M14" s="178">
        <f t="shared" ref="M14:M30" si="15">IF(E14="-", "-",G14-((E14-F14)*7))</f>
        <v>75</v>
      </c>
      <c r="O14" s="294">
        <f t="shared" ref="O14:O41" si="16">IF(CQ14="-",IF(E14="-","-",IF(E14-F14=0,G14,G14/(E14-F14))),IF(E14="-",IF(CQ14-CR14=0,"-",CS14/(CQ14-CR14)),(CS14+G14)/IF(CQ14-CR14+E14-F14=0,1,CQ14-CR14+E14-F14)))</f>
        <v>17.714285714285715</v>
      </c>
      <c r="P14" s="177">
        <f t="shared" ref="P14:P41" si="17">IF(CQ14="-",IF(E14="-",CX14,IF((E14-F14)&lt;5,CX14,IF(O14&gt;=40,5,IF(O14&gt;=30,4,IF(O14&gt;=20,3,IF(O14&gt;=10,2,1)))))),IF(E14="-",IF((CQ14-CR14)&lt;5,CX14,IF(O14&gt;=40,5,IF(O14&gt;=30,4,IF(O14&gt;=20,3,IF(O14&gt;=10,2,1))))),IF((CQ14+E14-CR14-F14)&lt;5,CX14,IF(O14&gt;=40,5,IF(O14&gt;=30,4,IF(O14&gt;=20,3,IF(O14&gt;=10,2,1)))))))</f>
        <v>2</v>
      </c>
      <c r="Q14" s="121"/>
      <c r="R14" s="299"/>
      <c r="S14" s="300"/>
      <c r="T14" s="283"/>
      <c r="U14" s="299"/>
      <c r="V14" s="300"/>
      <c r="W14" s="283"/>
      <c r="X14" s="299">
        <v>25</v>
      </c>
      <c r="Y14" s="300"/>
      <c r="Z14" s="283"/>
      <c r="AA14" s="299"/>
      <c r="AB14" s="300"/>
      <c r="AC14" s="283"/>
      <c r="AD14" s="299">
        <v>15</v>
      </c>
      <c r="AE14" s="300"/>
      <c r="AF14" s="283"/>
      <c r="AG14" s="299"/>
      <c r="AH14" s="300"/>
      <c r="AI14" s="283"/>
      <c r="AJ14" s="299">
        <v>0</v>
      </c>
      <c r="AK14" s="300"/>
      <c r="AL14" s="283"/>
      <c r="AM14" s="299"/>
      <c r="AN14" s="300"/>
      <c r="AO14" s="283"/>
      <c r="AP14" s="299">
        <v>16</v>
      </c>
      <c r="AQ14" s="300"/>
      <c r="AR14" s="283"/>
      <c r="AS14" s="299"/>
      <c r="AT14" s="300"/>
      <c r="AU14" s="283"/>
      <c r="AV14" s="299"/>
      <c r="AW14" s="300"/>
      <c r="AX14" s="283"/>
      <c r="AY14" s="299">
        <v>22</v>
      </c>
      <c r="AZ14" s="300"/>
      <c r="BA14" s="283"/>
      <c r="BB14" s="299"/>
      <c r="BC14" s="300"/>
      <c r="BD14" s="283"/>
      <c r="BE14" s="299">
        <v>30</v>
      </c>
      <c r="BF14" s="300"/>
      <c r="BG14" s="283"/>
      <c r="BH14" s="299"/>
      <c r="BI14" s="300"/>
      <c r="BJ14" s="283"/>
      <c r="BK14" s="299">
        <v>16</v>
      </c>
      <c r="BL14" s="300"/>
      <c r="BM14" s="283"/>
      <c r="BN14" s="299" t="s">
        <v>192</v>
      </c>
      <c r="BO14" s="300"/>
      <c r="BP14" s="283"/>
      <c r="BQ14" s="299"/>
      <c r="BR14" s="300"/>
      <c r="BS14" s="283"/>
      <c r="BT14" s="299"/>
      <c r="BU14" s="300"/>
      <c r="BV14" s="283"/>
      <c r="BW14" s="299"/>
      <c r="BX14" s="300"/>
      <c r="BY14" s="283"/>
      <c r="BZ14" s="269"/>
      <c r="CA14" s="270"/>
      <c r="CB14" s="268"/>
      <c r="CC14" s="269"/>
      <c r="CD14" s="270"/>
      <c r="CE14" s="270"/>
      <c r="CF14" s="269"/>
      <c r="CG14" s="268"/>
      <c r="CH14" s="268"/>
      <c r="CI14" s="269"/>
      <c r="CJ14" s="268"/>
      <c r="CP14" s="296"/>
      <c r="CQ14" s="296"/>
      <c r="CR14" s="296"/>
      <c r="CS14" s="296"/>
      <c r="CT14" s="172"/>
      <c r="CU14" s="171"/>
      <c r="CV14" s="297"/>
      <c r="CX14" s="298"/>
      <c r="DO14" s="154"/>
      <c r="EQ14" s="119"/>
      <c r="ER14" s="119"/>
      <c r="ES14" s="119"/>
      <c r="ET14" s="119"/>
      <c r="EU14" s="119"/>
      <c r="EV14" s="119"/>
      <c r="EW14" s="119"/>
      <c r="EX14" s="119"/>
      <c r="EY14" s="119"/>
      <c r="EZ14" s="119"/>
      <c r="FA14" s="119"/>
      <c r="FB14" s="119"/>
      <c r="FC14" s="119"/>
      <c r="FD14" s="119"/>
      <c r="FE14" s="119"/>
    </row>
    <row r="15" spans="2:237" ht="13.5" customHeight="1" x14ac:dyDescent="0.2">
      <c r="B15" s="158" t="s">
        <v>44</v>
      </c>
      <c r="C15" s="159" t="s">
        <v>189</v>
      </c>
      <c r="D15" s="171">
        <f t="shared" si="9"/>
        <v>13</v>
      </c>
      <c r="E15" s="171">
        <f>IF(COUNT(R15,U15,X15,AA15,AD15,AG15,AJ15,AM15,AP15,AS15,AV15,AY15,BB15,BE15,BH15,BK15,BN15,BQ15,BT15,BW15,CC15,CF15,CI15)=0,"-",COUNT(R15,U15,X15,AA15,AD15,AG15,AJ15,AM15,AP15,AS15,AV15,AY15,BB15,BE15,BH15,BK15,BN15,BQ15,BT15,BW15,CC15,CF15,CB))</f>
        <v>9</v>
      </c>
      <c r="F15" s="171">
        <f t="shared" si="10"/>
        <v>5</v>
      </c>
      <c r="G15" s="171">
        <f t="shared" si="11"/>
        <v>103</v>
      </c>
      <c r="H15" s="172">
        <f t="shared" si="12"/>
        <v>22</v>
      </c>
      <c r="I15" s="171"/>
      <c r="J15" s="173">
        <f t="shared" si="13"/>
        <v>25.75</v>
      </c>
      <c r="K15" s="171" t="str">
        <f t="shared" si="14"/>
        <v/>
      </c>
      <c r="L15" s="121"/>
      <c r="M15" s="178">
        <f t="shared" si="15"/>
        <v>75</v>
      </c>
      <c r="N15" s="144"/>
      <c r="O15" s="294">
        <f t="shared" si="16"/>
        <v>18.677165354330707</v>
      </c>
      <c r="P15" s="177">
        <f t="shared" si="17"/>
        <v>2</v>
      </c>
      <c r="R15" s="299"/>
      <c r="S15" s="300"/>
      <c r="T15" s="264"/>
      <c r="U15" s="299"/>
      <c r="V15" s="300"/>
      <c r="W15" s="264"/>
      <c r="X15" s="299">
        <v>10</v>
      </c>
      <c r="Y15" s="300" t="s">
        <v>117</v>
      </c>
      <c r="Z15" s="264"/>
      <c r="AA15" s="299">
        <v>7</v>
      </c>
      <c r="AB15" s="300" t="s">
        <v>117</v>
      </c>
      <c r="AC15" s="264"/>
      <c r="AD15" s="299" t="s">
        <v>192</v>
      </c>
      <c r="AE15" s="300"/>
      <c r="AF15" s="264"/>
      <c r="AG15" s="299"/>
      <c r="AH15" s="300"/>
      <c r="AI15" s="264"/>
      <c r="AJ15" s="299">
        <v>22</v>
      </c>
      <c r="AK15" s="300"/>
      <c r="AL15" s="264"/>
      <c r="AM15" s="299">
        <v>22</v>
      </c>
      <c r="AN15" s="300"/>
      <c r="AO15" s="264"/>
      <c r="AP15" s="299">
        <v>8</v>
      </c>
      <c r="AQ15" s="300"/>
      <c r="AR15" s="264"/>
      <c r="AS15" s="299">
        <v>4</v>
      </c>
      <c r="AT15" s="300" t="s">
        <v>117</v>
      </c>
      <c r="AU15" s="264"/>
      <c r="AV15" s="299">
        <v>14</v>
      </c>
      <c r="AW15" s="300" t="s">
        <v>117</v>
      </c>
      <c r="AX15" s="264"/>
      <c r="AY15" s="299" t="s">
        <v>192</v>
      </c>
      <c r="AZ15" s="300"/>
      <c r="BA15" s="264"/>
      <c r="BB15" s="299"/>
      <c r="BC15" s="300"/>
      <c r="BD15" s="264"/>
      <c r="BE15" s="299" t="s">
        <v>192</v>
      </c>
      <c r="BF15" s="300"/>
      <c r="BG15" s="264"/>
      <c r="BH15" s="299"/>
      <c r="BI15" s="300"/>
      <c r="BJ15" s="264"/>
      <c r="BK15" s="299"/>
      <c r="BL15" s="300"/>
      <c r="BM15" s="264"/>
      <c r="BN15" s="299">
        <v>16</v>
      </c>
      <c r="BO15" s="300" t="s">
        <v>117</v>
      </c>
      <c r="BP15" s="264"/>
      <c r="BQ15" s="299" t="s">
        <v>192</v>
      </c>
      <c r="BR15" s="300"/>
      <c r="BS15" s="264"/>
      <c r="BT15" s="299">
        <v>0</v>
      </c>
      <c r="BU15" s="300"/>
      <c r="BV15" s="264"/>
      <c r="BW15" s="299"/>
      <c r="BX15" s="300"/>
      <c r="BY15" s="264"/>
      <c r="BZ15" s="269"/>
      <c r="CA15" s="270"/>
      <c r="CB15" s="268"/>
      <c r="CC15" s="269"/>
      <c r="CD15" s="270"/>
      <c r="CE15" s="270"/>
      <c r="CF15" s="269"/>
      <c r="CG15" s="268"/>
      <c r="CH15" s="268"/>
      <c r="CI15" s="269"/>
      <c r="CJ15" s="268"/>
      <c r="CP15" s="296">
        <v>247</v>
      </c>
      <c r="CQ15" s="296">
        <v>167</v>
      </c>
      <c r="CR15" s="296">
        <v>44</v>
      </c>
      <c r="CS15" s="296">
        <v>2269</v>
      </c>
      <c r="CT15" s="172">
        <v>112</v>
      </c>
      <c r="CU15" s="171"/>
      <c r="CV15" s="297">
        <f>IF(CQ15="-","-",IF(CQ15-CR15=0,CS15,CS15/(CQ15-CR15)))</f>
        <v>18.447154471544714</v>
      </c>
      <c r="CX15" s="177"/>
      <c r="DO15" s="154"/>
      <c r="EQ15" s="119"/>
      <c r="ER15" s="119"/>
      <c r="ES15" s="119"/>
      <c r="ET15" s="119"/>
      <c r="EU15" s="119"/>
      <c r="EV15" s="119"/>
      <c r="EW15" s="119"/>
      <c r="EX15" s="119"/>
      <c r="EY15" s="119"/>
      <c r="EZ15" s="119"/>
      <c r="FA15" s="119"/>
      <c r="FB15" s="119"/>
      <c r="FC15" s="119"/>
      <c r="FD15" s="119"/>
      <c r="FE15" s="119"/>
    </row>
    <row r="16" spans="2:237" ht="13.5" customHeight="1" x14ac:dyDescent="0.2">
      <c r="B16" s="158" t="s">
        <v>215</v>
      </c>
      <c r="C16" s="159" t="s">
        <v>189</v>
      </c>
      <c r="D16" s="171">
        <f t="shared" si="9"/>
        <v>2</v>
      </c>
      <c r="E16" s="171">
        <f>IF(COUNT(R16,U16,X16,AA16,AD16,AG16,AJ16,AM16,AP16,AS16,AV16,AY16,BB16,BE16,BH16,BK16,BN16,BQ16,BT16,BW16,CC16,CF16,CI16)=0,"-",COUNT(R16,U16,X16,AA16,AD16,AG16,AJ16,AM16,AP16,AS16,AV16,AY16,BB16,BE16,BH16,BK16,BN16,BQ16,BT16,BW16,CC16,CF16,CB))</f>
        <v>2</v>
      </c>
      <c r="F16" s="171">
        <f t="shared" si="10"/>
        <v>1</v>
      </c>
      <c r="G16" s="171">
        <f t="shared" si="11"/>
        <v>48</v>
      </c>
      <c r="H16" s="172">
        <f t="shared" si="12"/>
        <v>48</v>
      </c>
      <c r="I16" s="171"/>
      <c r="J16" s="295">
        <f t="shared" si="13"/>
        <v>48</v>
      </c>
      <c r="K16" s="171" t="str">
        <f t="shared" si="14"/>
        <v/>
      </c>
      <c r="L16" s="121"/>
      <c r="M16" s="178">
        <f t="shared" si="15"/>
        <v>41</v>
      </c>
      <c r="O16" s="294">
        <f t="shared" si="16"/>
        <v>48</v>
      </c>
      <c r="P16" s="177">
        <f t="shared" si="17"/>
        <v>0</v>
      </c>
      <c r="R16" s="299"/>
      <c r="S16" s="300"/>
      <c r="T16" s="264"/>
      <c r="U16" s="299"/>
      <c r="V16" s="300"/>
      <c r="W16" s="264"/>
      <c r="X16" s="299"/>
      <c r="Y16" s="300"/>
      <c r="Z16" s="264"/>
      <c r="AA16" s="299"/>
      <c r="AB16" s="300"/>
      <c r="AC16" s="264"/>
      <c r="AD16" s="299">
        <v>48</v>
      </c>
      <c r="AE16" s="300" t="s">
        <v>117</v>
      </c>
      <c r="AF16" s="264"/>
      <c r="AG16" s="299"/>
      <c r="AH16" s="300"/>
      <c r="AI16" s="264"/>
      <c r="AJ16" s="299">
        <v>0</v>
      </c>
      <c r="AK16" s="300"/>
      <c r="AL16" s="264"/>
      <c r="AM16" s="299"/>
      <c r="AN16" s="300"/>
      <c r="AO16" s="264"/>
      <c r="AP16" s="299"/>
      <c r="AQ16" s="300"/>
      <c r="AR16" s="264"/>
      <c r="AS16" s="299"/>
      <c r="AT16" s="300"/>
      <c r="AU16" s="264"/>
      <c r="AV16" s="299"/>
      <c r="AW16" s="300"/>
      <c r="AX16" s="264"/>
      <c r="AY16" s="299"/>
      <c r="AZ16" s="300"/>
      <c r="BA16" s="264"/>
      <c r="BB16" s="299"/>
      <c r="BC16" s="300"/>
      <c r="BD16" s="264"/>
      <c r="BE16" s="299"/>
      <c r="BF16" s="300"/>
      <c r="BG16" s="264"/>
      <c r="BH16" s="299"/>
      <c r="BI16" s="300"/>
      <c r="BJ16" s="264"/>
      <c r="BK16" s="299"/>
      <c r="BL16" s="300"/>
      <c r="BM16" s="264"/>
      <c r="BN16" s="299"/>
      <c r="BO16" s="300"/>
      <c r="BP16" s="264"/>
      <c r="BQ16" s="299"/>
      <c r="BR16" s="300"/>
      <c r="BS16" s="264"/>
      <c r="BT16" s="299"/>
      <c r="BU16" s="300"/>
      <c r="BV16" s="264"/>
      <c r="BW16" s="299"/>
      <c r="BX16" s="300"/>
      <c r="BY16" s="264"/>
      <c r="BZ16" s="269"/>
      <c r="CA16" s="270"/>
      <c r="CB16" s="268"/>
      <c r="CC16" s="269"/>
      <c r="CD16" s="270"/>
      <c r="CE16" s="270"/>
      <c r="CF16" s="269"/>
      <c r="CG16" s="268"/>
      <c r="CH16" s="268"/>
      <c r="CI16" s="269"/>
      <c r="CJ16" s="268"/>
      <c r="CP16" s="296"/>
      <c r="CQ16" s="296"/>
      <c r="CR16" s="296"/>
      <c r="CS16" s="296"/>
      <c r="CT16" s="172"/>
      <c r="CU16" s="171"/>
      <c r="CV16" s="297"/>
      <c r="CX16" s="177"/>
      <c r="DO16" s="154"/>
      <c r="EQ16" s="119"/>
      <c r="ER16" s="119"/>
      <c r="ES16" s="119"/>
      <c r="ET16" s="119"/>
      <c r="EU16" s="119"/>
      <c r="EV16" s="119"/>
      <c r="EW16" s="119"/>
      <c r="EX16" s="119"/>
      <c r="EY16" s="119"/>
      <c r="EZ16" s="119"/>
      <c r="FA16" s="119"/>
      <c r="FB16" s="119"/>
      <c r="FC16" s="119"/>
      <c r="FD16" s="119"/>
      <c r="FE16" s="119"/>
    </row>
    <row r="17" spans="2:161" ht="13.5" customHeight="1" x14ac:dyDescent="0.2">
      <c r="B17" s="158" t="s">
        <v>122</v>
      </c>
      <c r="C17" s="159" t="s">
        <v>188</v>
      </c>
      <c r="D17" s="171">
        <f t="shared" si="9"/>
        <v>2</v>
      </c>
      <c r="E17" s="171">
        <f>IF(COUNT(R17,U17,X17,AA17,AD17,AG17,AJ17,AM17,AP17,AS17,AV17,AY17,BB17,BE17,BH17,BK17,BN17,BQ17,BT17,BW17,CC17,CF17,CI17)=0,"-",COUNT(R17,U17,X17,AA17,AD17,AG17,AJ17,AM17,AP17,AS17,AV17,AY17,BB17,BE17,BH17,BK17,BN17,BQ17,BT17,BW17,CC17,CF17,CB))</f>
        <v>2</v>
      </c>
      <c r="F17" s="171">
        <f t="shared" si="10"/>
        <v>1</v>
      </c>
      <c r="G17" s="171">
        <f t="shared" si="11"/>
        <v>40</v>
      </c>
      <c r="H17" s="172">
        <f t="shared" si="12"/>
        <v>34</v>
      </c>
      <c r="I17" s="171"/>
      <c r="J17" s="173">
        <f t="shared" si="13"/>
        <v>40</v>
      </c>
      <c r="K17" s="171" t="str">
        <f t="shared" si="14"/>
        <v/>
      </c>
      <c r="L17" s="121"/>
      <c r="M17" s="178">
        <f t="shared" si="15"/>
        <v>33</v>
      </c>
      <c r="O17" s="294">
        <f t="shared" si="16"/>
        <v>40</v>
      </c>
      <c r="P17" s="177">
        <f t="shared" si="17"/>
        <v>0</v>
      </c>
      <c r="Q17" s="121"/>
      <c r="R17" s="299"/>
      <c r="S17" s="300"/>
      <c r="T17" s="284"/>
      <c r="U17" s="299"/>
      <c r="V17" s="300"/>
      <c r="W17" s="284"/>
      <c r="X17" s="299"/>
      <c r="Y17" s="300"/>
      <c r="Z17" s="284"/>
      <c r="AA17" s="299"/>
      <c r="AB17" s="300"/>
      <c r="AC17" s="284"/>
      <c r="AD17" s="299"/>
      <c r="AE17" s="300"/>
      <c r="AF17" s="284"/>
      <c r="AG17" s="299"/>
      <c r="AH17" s="300"/>
      <c r="AI17" s="284"/>
      <c r="AJ17" s="299"/>
      <c r="AK17" s="300"/>
      <c r="AL17" s="284"/>
      <c r="AM17" s="299"/>
      <c r="AN17" s="300"/>
      <c r="AO17" s="284"/>
      <c r="AP17" s="299"/>
      <c r="AQ17" s="300"/>
      <c r="AR17" s="284"/>
      <c r="AS17" s="299"/>
      <c r="AT17" s="300"/>
      <c r="AU17" s="284"/>
      <c r="AV17" s="299">
        <v>6</v>
      </c>
      <c r="AW17" s="300"/>
      <c r="AX17" s="284"/>
      <c r="AY17" s="299"/>
      <c r="AZ17" s="300"/>
      <c r="BA17" s="284"/>
      <c r="BB17" s="299"/>
      <c r="BC17" s="300"/>
      <c r="BD17" s="284"/>
      <c r="BE17" s="299"/>
      <c r="BF17" s="300"/>
      <c r="BG17" s="284"/>
      <c r="BH17" s="299"/>
      <c r="BI17" s="300"/>
      <c r="BJ17" s="284"/>
      <c r="BK17" s="299"/>
      <c r="BL17" s="300"/>
      <c r="BM17" s="284"/>
      <c r="BN17" s="299">
        <v>34</v>
      </c>
      <c r="BO17" s="300" t="s">
        <v>117</v>
      </c>
      <c r="BP17" s="284"/>
      <c r="BQ17" s="299"/>
      <c r="BR17" s="300"/>
      <c r="BS17" s="284"/>
      <c r="BT17" s="299"/>
      <c r="BU17" s="300"/>
      <c r="BV17" s="284"/>
      <c r="BW17" s="299"/>
      <c r="BX17" s="300"/>
      <c r="BY17" s="284"/>
      <c r="BZ17" s="269"/>
      <c r="CA17" s="270"/>
      <c r="CB17" s="268"/>
      <c r="CC17" s="269"/>
      <c r="CD17" s="270"/>
      <c r="CE17" s="270"/>
      <c r="CF17" s="269"/>
      <c r="CG17" s="268"/>
      <c r="CH17" s="268"/>
      <c r="CI17" s="269"/>
      <c r="CJ17" s="268"/>
      <c r="CP17" s="296"/>
      <c r="CQ17" s="296"/>
      <c r="CR17" s="296"/>
      <c r="CS17" s="296"/>
      <c r="CT17" s="172"/>
      <c r="CU17" s="171"/>
      <c r="CV17" s="297"/>
      <c r="CX17" s="177"/>
      <c r="EQ17" s="119"/>
      <c r="ER17" s="119"/>
      <c r="ES17" s="119"/>
      <c r="ET17" s="119"/>
      <c r="EU17" s="119"/>
      <c r="EV17" s="119"/>
      <c r="EW17" s="119"/>
      <c r="EX17" s="119"/>
      <c r="EY17" s="119"/>
      <c r="EZ17" s="119"/>
      <c r="FA17" s="119"/>
      <c r="FB17" s="119"/>
      <c r="FC17" s="119"/>
      <c r="FD17" s="119"/>
      <c r="FE17" s="119"/>
    </row>
    <row r="18" spans="2:161" ht="13.5" customHeight="1" x14ac:dyDescent="0.2">
      <c r="B18" s="158" t="s">
        <v>42</v>
      </c>
      <c r="C18" s="159" t="s">
        <v>189</v>
      </c>
      <c r="D18" s="171">
        <f t="shared" si="9"/>
        <v>14</v>
      </c>
      <c r="E18" s="171">
        <f>IF(COUNT(R18,U18,X18,AA18,AD18,AG18,AJ18,AM18,AP18,AS18,AV18,AY18,BB18,BE18,BH18,BK18,BN18,BQ18,BT18,BW18,CC18,CF18,CI18)=0,"-",COUNT(R18,U18,X18,AA18,AD18,AG18,AJ18,AM18,AP18,AS18,AV18,AY18,BB18,BE18,BH18,BK18,BN18,BQ18,BT18,BW18,CC18,CF18,CB))</f>
        <v>9</v>
      </c>
      <c r="F18" s="171">
        <f t="shared" si="10"/>
        <v>4</v>
      </c>
      <c r="G18" s="171">
        <f t="shared" si="11"/>
        <v>89</v>
      </c>
      <c r="H18" s="172">
        <f t="shared" si="12"/>
        <v>24</v>
      </c>
      <c r="I18" s="171"/>
      <c r="J18" s="295">
        <f t="shared" si="13"/>
        <v>17.8</v>
      </c>
      <c r="K18" s="171" t="str">
        <f t="shared" si="14"/>
        <v/>
      </c>
      <c r="L18" s="121"/>
      <c r="M18" s="178">
        <f t="shared" si="15"/>
        <v>54</v>
      </c>
      <c r="O18" s="294">
        <f t="shared" si="16"/>
        <v>16.966666666666665</v>
      </c>
      <c r="P18" s="177">
        <f t="shared" si="17"/>
        <v>2</v>
      </c>
      <c r="Q18" s="121"/>
      <c r="R18" s="299"/>
      <c r="S18" s="300"/>
      <c r="T18" s="266"/>
      <c r="U18" s="299"/>
      <c r="V18" s="300"/>
      <c r="W18" s="266"/>
      <c r="X18" s="299" t="s">
        <v>192</v>
      </c>
      <c r="Y18" s="300"/>
      <c r="Z18" s="266"/>
      <c r="AA18" s="299">
        <v>9</v>
      </c>
      <c r="AB18" s="300"/>
      <c r="AC18" s="266"/>
      <c r="AD18" s="299" t="s">
        <v>192</v>
      </c>
      <c r="AE18" s="300"/>
      <c r="AF18" s="266"/>
      <c r="AG18" s="299"/>
      <c r="AH18" s="300"/>
      <c r="AI18" s="266"/>
      <c r="AJ18" s="299">
        <v>7</v>
      </c>
      <c r="AK18" s="300"/>
      <c r="AL18" s="266"/>
      <c r="AM18" s="299">
        <v>14</v>
      </c>
      <c r="AN18" s="300" t="s">
        <v>117</v>
      </c>
      <c r="AO18" s="266"/>
      <c r="AP18" s="299">
        <v>12</v>
      </c>
      <c r="AQ18" s="300"/>
      <c r="AR18" s="266"/>
      <c r="AS18" s="299">
        <v>0</v>
      </c>
      <c r="AT18" s="300"/>
      <c r="AU18" s="266"/>
      <c r="AV18" s="299">
        <v>0</v>
      </c>
      <c r="AW18" s="300"/>
      <c r="AX18" s="266"/>
      <c r="AY18" s="299">
        <v>21</v>
      </c>
      <c r="AZ18" s="300" t="s">
        <v>117</v>
      </c>
      <c r="BA18" s="266"/>
      <c r="BB18" s="299"/>
      <c r="BC18" s="300"/>
      <c r="BD18" s="266"/>
      <c r="BE18" s="299" t="s">
        <v>192</v>
      </c>
      <c r="BF18" s="300"/>
      <c r="BG18" s="266"/>
      <c r="BH18" s="299"/>
      <c r="BI18" s="300"/>
      <c r="BJ18" s="266"/>
      <c r="BK18" s="299">
        <v>2</v>
      </c>
      <c r="BL18" s="300" t="s">
        <v>117</v>
      </c>
      <c r="BM18" s="266"/>
      <c r="BN18" s="299" t="s">
        <v>192</v>
      </c>
      <c r="BO18" s="300"/>
      <c r="BP18" s="266"/>
      <c r="BQ18" s="299" t="s">
        <v>192</v>
      </c>
      <c r="BR18" s="300"/>
      <c r="BS18" s="266"/>
      <c r="BT18" s="299">
        <v>24</v>
      </c>
      <c r="BU18" s="300" t="s">
        <v>117</v>
      </c>
      <c r="BV18" s="266"/>
      <c r="BW18" s="299"/>
      <c r="BX18" s="300"/>
      <c r="BY18" s="266"/>
      <c r="BZ18" s="269"/>
      <c r="CA18" s="270"/>
      <c r="CB18" s="268"/>
      <c r="CC18" s="269"/>
      <c r="CD18" s="270"/>
      <c r="CE18" s="270"/>
      <c r="CF18" s="269"/>
      <c r="CG18" s="268"/>
      <c r="CH18" s="268"/>
      <c r="CI18" s="269"/>
      <c r="CJ18" s="268"/>
      <c r="CP18" s="296">
        <v>48</v>
      </c>
      <c r="CQ18" s="296">
        <v>32</v>
      </c>
      <c r="CR18" s="296">
        <v>7</v>
      </c>
      <c r="CS18" s="296">
        <v>420</v>
      </c>
      <c r="CT18" s="172">
        <v>72</v>
      </c>
      <c r="CU18" s="171" t="s">
        <v>117</v>
      </c>
      <c r="CV18" s="297">
        <f>IF(CQ18="-","-",IF(CQ18-CR18=0,CS18,CS18/(CQ18-CR18)))</f>
        <v>16.8</v>
      </c>
      <c r="CX18" s="177"/>
      <c r="EQ18" s="119"/>
      <c r="ER18" s="119"/>
      <c r="ES18" s="119"/>
      <c r="ET18" s="119"/>
      <c r="EU18" s="119"/>
      <c r="EV18" s="119"/>
      <c r="EW18" s="119"/>
      <c r="EX18" s="119"/>
      <c r="EY18" s="119"/>
      <c r="EZ18" s="119"/>
      <c r="FA18" s="119"/>
      <c r="FB18" s="119"/>
      <c r="FC18" s="119"/>
      <c r="FD18" s="119"/>
      <c r="FE18" s="119"/>
    </row>
    <row r="19" spans="2:161" ht="13.5" customHeight="1" x14ac:dyDescent="0.2">
      <c r="B19" s="158" t="s">
        <v>186</v>
      </c>
      <c r="C19" s="159" t="s">
        <v>189</v>
      </c>
      <c r="D19" s="171">
        <f t="shared" si="9"/>
        <v>3</v>
      </c>
      <c r="E19" s="171">
        <f>IF(COUNT(R19,U19,X19,AA19,AD19,AG19,AJ19,AM19,AP19,AS19,AV19,AY19,BB19,BE19,BH19,BK19,BN19,BQ19,BT19,BW19,CC19,CF19,CI19)=0,"-",COUNT(R19,U19,X19,AA19,AD19,AG19,AJ19,AM19,AP19,AS19,AV19,AY19,BB19,BE19,BH19,BK19,BN19,BQ19,BT19,BW19,CC19,CF19,CB))</f>
        <v>3</v>
      </c>
      <c r="F19" s="171">
        <f t="shared" si="10"/>
        <v>0</v>
      </c>
      <c r="G19" s="171">
        <f t="shared" si="11"/>
        <v>42</v>
      </c>
      <c r="H19" s="172">
        <f t="shared" si="12"/>
        <v>40</v>
      </c>
      <c r="I19" s="171"/>
      <c r="J19" s="173">
        <f t="shared" si="13"/>
        <v>14</v>
      </c>
      <c r="K19" s="171" t="str">
        <f t="shared" si="14"/>
        <v/>
      </c>
      <c r="L19" s="121"/>
      <c r="M19" s="178">
        <f t="shared" si="15"/>
        <v>21</v>
      </c>
      <c r="O19" s="294">
        <f t="shared" si="16"/>
        <v>19.142857142857142</v>
      </c>
      <c r="P19" s="177">
        <f t="shared" si="17"/>
        <v>2</v>
      </c>
      <c r="Q19" s="121"/>
      <c r="R19" s="299"/>
      <c r="S19" s="300"/>
      <c r="T19" s="266"/>
      <c r="U19" s="299"/>
      <c r="V19" s="300"/>
      <c r="W19" s="266"/>
      <c r="X19" s="299"/>
      <c r="Y19" s="300"/>
      <c r="Z19" s="266"/>
      <c r="AA19" s="299"/>
      <c r="AB19" s="300"/>
      <c r="AC19" s="266"/>
      <c r="AD19" s="299"/>
      <c r="AE19" s="300"/>
      <c r="AF19" s="266"/>
      <c r="AG19" s="299"/>
      <c r="AH19" s="300"/>
      <c r="AI19" s="266"/>
      <c r="AJ19" s="299"/>
      <c r="AK19" s="300"/>
      <c r="AL19" s="266"/>
      <c r="AM19" s="299">
        <v>0</v>
      </c>
      <c r="AN19" s="300"/>
      <c r="AO19" s="266"/>
      <c r="AP19" s="299"/>
      <c r="AQ19" s="300"/>
      <c r="AR19" s="266"/>
      <c r="AS19" s="299"/>
      <c r="AT19" s="300"/>
      <c r="AU19" s="266"/>
      <c r="AV19" s="299"/>
      <c r="AW19" s="300"/>
      <c r="AX19" s="266"/>
      <c r="AY19" s="299"/>
      <c r="AZ19" s="300"/>
      <c r="BA19" s="266"/>
      <c r="BB19" s="299"/>
      <c r="BC19" s="300"/>
      <c r="BD19" s="266"/>
      <c r="BE19" s="299"/>
      <c r="BF19" s="300"/>
      <c r="BG19" s="266"/>
      <c r="BH19" s="299"/>
      <c r="BI19" s="300"/>
      <c r="BJ19" s="266"/>
      <c r="BK19" s="299"/>
      <c r="BL19" s="300"/>
      <c r="BM19" s="266"/>
      <c r="BN19" s="299"/>
      <c r="BO19" s="300"/>
      <c r="BP19" s="266"/>
      <c r="BQ19" s="299">
        <v>40</v>
      </c>
      <c r="BR19" s="300"/>
      <c r="BS19" s="266"/>
      <c r="BT19" s="299">
        <v>2</v>
      </c>
      <c r="BU19" s="300"/>
      <c r="BV19" s="266"/>
      <c r="BW19" s="299"/>
      <c r="BX19" s="300"/>
      <c r="BY19" s="266"/>
      <c r="BZ19" s="269"/>
      <c r="CA19" s="269"/>
      <c r="CB19" s="269"/>
      <c r="CC19" s="269"/>
      <c r="CD19" s="269"/>
      <c r="CE19" s="269"/>
      <c r="CF19" s="269"/>
      <c r="CG19" s="268"/>
      <c r="CH19" s="268"/>
      <c r="CI19" s="269"/>
      <c r="CJ19" s="268"/>
      <c r="CP19" s="296">
        <v>13</v>
      </c>
      <c r="CQ19" s="296">
        <v>9</v>
      </c>
      <c r="CR19" s="296">
        <v>5</v>
      </c>
      <c r="CS19" s="296">
        <v>92</v>
      </c>
      <c r="CT19" s="172">
        <v>33</v>
      </c>
      <c r="CU19" s="171"/>
      <c r="CV19" s="297">
        <f>IF(CQ19="-","-",IF(CQ19-CR19=0,CS19,CS19/(CQ19-CR19)))</f>
        <v>23</v>
      </c>
      <c r="CX19" s="298"/>
      <c r="EQ19" s="119"/>
      <c r="ER19" s="119"/>
      <c r="ES19" s="119"/>
      <c r="ET19" s="119"/>
      <c r="EU19" s="119"/>
      <c r="EV19" s="119"/>
      <c r="EW19" s="119"/>
      <c r="EX19" s="119"/>
      <c r="EY19" s="119"/>
      <c r="EZ19" s="119"/>
      <c r="FA19" s="119"/>
      <c r="FB19" s="119"/>
      <c r="FC19" s="119"/>
      <c r="FD19" s="119"/>
      <c r="FE19" s="119"/>
    </row>
    <row r="20" spans="2:161" ht="13.5" customHeight="1" x14ac:dyDescent="0.2">
      <c r="B20" s="158" t="s">
        <v>282</v>
      </c>
      <c r="C20" s="159" t="s">
        <v>222</v>
      </c>
      <c r="D20" s="171">
        <f t="shared" si="9"/>
        <v>6</v>
      </c>
      <c r="E20" s="171">
        <f>IF(COUNT(R20,U20,X20,AA20,AD20,AG20,AJ20,AM20,AP20,AS20,AV20,AY20,BB20,BE20,BH20,BK20,BN20,BQ20,BT20,BW20,CC20,CF20,CI20)=0,"-",COUNT(R20,U20,X20,AA20,AD20,AG20,AJ20,AM20,AP20,AS20,AV20,AY20,BB20,BE20,BH20,BK20,BN20,BQ20,BT20,BW20,CC20,CF20,CB))</f>
        <v>5</v>
      </c>
      <c r="F20" s="171">
        <f t="shared" si="10"/>
        <v>1</v>
      </c>
      <c r="G20" s="171">
        <f t="shared" si="11"/>
        <v>50</v>
      </c>
      <c r="H20" s="172">
        <f t="shared" si="12"/>
        <v>29</v>
      </c>
      <c r="I20" s="171"/>
      <c r="J20" s="173">
        <f t="shared" si="13"/>
        <v>12.5</v>
      </c>
      <c r="K20" s="171" t="str">
        <f t="shared" si="14"/>
        <v/>
      </c>
      <c r="L20" s="121"/>
      <c r="M20" s="178">
        <f t="shared" si="15"/>
        <v>22</v>
      </c>
      <c r="O20" s="294">
        <f t="shared" si="16"/>
        <v>12.5</v>
      </c>
      <c r="P20" s="177">
        <f t="shared" si="17"/>
        <v>0</v>
      </c>
      <c r="R20" s="299"/>
      <c r="S20" s="300"/>
      <c r="T20" s="264"/>
      <c r="U20" s="299"/>
      <c r="V20" s="300"/>
      <c r="W20" s="264"/>
      <c r="X20" s="299"/>
      <c r="Y20" s="300"/>
      <c r="Z20" s="264"/>
      <c r="AA20" s="299"/>
      <c r="AB20" s="300"/>
      <c r="AC20" s="264"/>
      <c r="AD20" s="299"/>
      <c r="AE20" s="300"/>
      <c r="AF20" s="264"/>
      <c r="AG20" s="299"/>
      <c r="AH20" s="300"/>
      <c r="AI20" s="264"/>
      <c r="AJ20" s="299"/>
      <c r="AK20" s="300"/>
      <c r="AL20" s="264"/>
      <c r="AM20" s="299"/>
      <c r="AN20" s="300"/>
      <c r="AO20" s="264"/>
      <c r="AP20" s="299"/>
      <c r="AQ20" s="300"/>
      <c r="AR20" s="264"/>
      <c r="AS20" s="299">
        <v>0</v>
      </c>
      <c r="AT20" s="300"/>
      <c r="AU20" s="264"/>
      <c r="AV20" s="299">
        <v>4</v>
      </c>
      <c r="AW20" s="300"/>
      <c r="AX20" s="264"/>
      <c r="AY20" s="299">
        <v>29</v>
      </c>
      <c r="AZ20" s="300" t="s">
        <v>117</v>
      </c>
      <c r="BA20" s="264"/>
      <c r="BB20" s="299"/>
      <c r="BC20" s="300"/>
      <c r="BD20" s="264"/>
      <c r="BE20" s="299" t="s">
        <v>192</v>
      </c>
      <c r="BF20" s="300"/>
      <c r="BG20" s="264"/>
      <c r="BH20" s="299"/>
      <c r="BI20" s="300"/>
      <c r="BJ20" s="264"/>
      <c r="BK20" s="299">
        <v>17</v>
      </c>
      <c r="BL20" s="300"/>
      <c r="BM20" s="264"/>
      <c r="BN20" s="299">
        <v>0</v>
      </c>
      <c r="BO20" s="300"/>
      <c r="BP20" s="264"/>
      <c r="BQ20" s="299"/>
      <c r="BR20" s="300"/>
      <c r="BS20" s="264"/>
      <c r="BT20" s="299"/>
      <c r="BU20" s="300"/>
      <c r="BV20" s="264"/>
      <c r="BW20" s="299"/>
      <c r="BX20" s="300"/>
      <c r="BY20" s="264"/>
      <c r="BZ20" s="269"/>
      <c r="CA20" s="270"/>
      <c r="CB20" s="268"/>
      <c r="CC20" s="269"/>
      <c r="CD20" s="270"/>
      <c r="CE20" s="270"/>
      <c r="CF20" s="269"/>
      <c r="CG20" s="268"/>
      <c r="CH20" s="268"/>
      <c r="CI20" s="269"/>
      <c r="CJ20" s="268"/>
      <c r="CP20" s="296"/>
      <c r="CQ20" s="296"/>
      <c r="CR20" s="296"/>
      <c r="CS20" s="296"/>
      <c r="CT20" s="172"/>
      <c r="CU20" s="171"/>
      <c r="CV20" s="297"/>
      <c r="CX20" s="177"/>
      <c r="DO20" s="154"/>
      <c r="EQ20" s="119"/>
      <c r="ER20" s="119"/>
      <c r="ES20" s="119"/>
      <c r="ET20" s="119"/>
      <c r="EU20" s="119"/>
      <c r="EV20" s="119"/>
      <c r="EW20" s="119"/>
      <c r="EX20" s="119"/>
      <c r="EY20" s="119"/>
      <c r="EZ20" s="119"/>
      <c r="FA20" s="119"/>
      <c r="FB20" s="119"/>
      <c r="FC20" s="119"/>
      <c r="FD20" s="119"/>
      <c r="FE20" s="119"/>
    </row>
    <row r="21" spans="2:161" ht="13.5" customHeight="1" x14ac:dyDescent="0.2">
      <c r="B21" s="158" t="s">
        <v>267</v>
      </c>
      <c r="C21" s="159" t="s">
        <v>189</v>
      </c>
      <c r="D21" s="171">
        <f t="shared" si="9"/>
        <v>1</v>
      </c>
      <c r="E21" s="171">
        <f>IF(COUNT(R21,U21,X21,AA21,AD21,AG21,AJ21,AM21,AP21,AS21,AV21,AY21,BB21,BE21,BH21,BK21,BN21,BQ21,BT21,BW21,CC21,CF21,CI21)=0,"-",COUNT(R21,U21,X21,AA21,AD21,AG21,AJ21,AM21,AP21,AS21,AV21,AY21,BB21,BE21,BH21,BK21,BN21,BQ21,BT21,BW21,CC21,CF21,CB))</f>
        <v>1</v>
      </c>
      <c r="F21" s="171">
        <f t="shared" si="10"/>
        <v>0</v>
      </c>
      <c r="G21" s="171">
        <f t="shared" si="11"/>
        <v>29</v>
      </c>
      <c r="H21" s="172">
        <f t="shared" si="12"/>
        <v>29</v>
      </c>
      <c r="I21" s="171"/>
      <c r="J21" s="173">
        <f t="shared" si="13"/>
        <v>29</v>
      </c>
      <c r="K21" s="171" t="str">
        <f t="shared" si="14"/>
        <v/>
      </c>
      <c r="L21" s="121"/>
      <c r="M21" s="178">
        <f t="shared" si="15"/>
        <v>22</v>
      </c>
      <c r="O21" s="294">
        <f t="shared" si="16"/>
        <v>29</v>
      </c>
      <c r="P21" s="177">
        <f t="shared" si="17"/>
        <v>0</v>
      </c>
      <c r="R21" s="299"/>
      <c r="S21" s="300"/>
      <c r="T21" s="264"/>
      <c r="U21" s="299"/>
      <c r="V21" s="300"/>
      <c r="W21" s="264"/>
      <c r="X21" s="299">
        <v>29</v>
      </c>
      <c r="Y21" s="300"/>
      <c r="Z21" s="264"/>
      <c r="AA21" s="299"/>
      <c r="AB21" s="300"/>
      <c r="AC21" s="264"/>
      <c r="AD21" s="299"/>
      <c r="AE21" s="300"/>
      <c r="AF21" s="264"/>
      <c r="AG21" s="299"/>
      <c r="AH21" s="300"/>
      <c r="AI21" s="264"/>
      <c r="AJ21" s="299"/>
      <c r="AK21" s="300"/>
      <c r="AL21" s="264"/>
      <c r="AM21" s="299"/>
      <c r="AN21" s="300"/>
      <c r="AO21" s="264"/>
      <c r="AP21" s="299"/>
      <c r="AQ21" s="300"/>
      <c r="AR21" s="264"/>
      <c r="AS21" s="299"/>
      <c r="AT21" s="300"/>
      <c r="AU21" s="264"/>
      <c r="AV21" s="299"/>
      <c r="AW21" s="300"/>
      <c r="AX21" s="264"/>
      <c r="AY21" s="299"/>
      <c r="AZ21" s="300"/>
      <c r="BA21" s="264"/>
      <c r="BB21" s="299"/>
      <c r="BC21" s="300"/>
      <c r="BD21" s="264"/>
      <c r="BE21" s="299"/>
      <c r="BF21" s="300"/>
      <c r="BG21" s="264"/>
      <c r="BH21" s="299"/>
      <c r="BI21" s="300"/>
      <c r="BJ21" s="264"/>
      <c r="BK21" s="299"/>
      <c r="BL21" s="300"/>
      <c r="BM21" s="264"/>
      <c r="BN21" s="299"/>
      <c r="BO21" s="300"/>
      <c r="BP21" s="264"/>
      <c r="BQ21" s="299"/>
      <c r="BR21" s="300"/>
      <c r="BS21" s="264"/>
      <c r="BT21" s="299"/>
      <c r="BU21" s="300"/>
      <c r="BV21" s="264"/>
      <c r="BW21" s="299"/>
      <c r="BX21" s="300"/>
      <c r="BY21" s="264"/>
      <c r="BZ21" s="269"/>
      <c r="CA21" s="270"/>
      <c r="CB21" s="268"/>
      <c r="CC21" s="269"/>
      <c r="CD21" s="270"/>
      <c r="CE21" s="270"/>
      <c r="CF21" s="269"/>
      <c r="CG21" s="268"/>
      <c r="CH21" s="268"/>
      <c r="CI21" s="269"/>
      <c r="CJ21" s="268"/>
      <c r="CP21" s="296"/>
      <c r="CQ21" s="296"/>
      <c r="CR21" s="296"/>
      <c r="CS21" s="296"/>
      <c r="CT21" s="172"/>
      <c r="CU21" s="171"/>
      <c r="CV21" s="297"/>
      <c r="CX21" s="177"/>
      <c r="DO21" s="154"/>
      <c r="EQ21" s="119"/>
      <c r="ER21" s="119"/>
      <c r="ES21" s="119"/>
      <c r="ET21" s="119"/>
      <c r="EU21" s="119"/>
      <c r="EV21" s="119"/>
      <c r="EW21" s="119"/>
      <c r="EX21" s="119"/>
      <c r="EY21" s="119"/>
      <c r="EZ21" s="119"/>
      <c r="FA21" s="119"/>
      <c r="FB21" s="119"/>
      <c r="FC21" s="119"/>
      <c r="FD21" s="119"/>
      <c r="FE21" s="119"/>
    </row>
    <row r="22" spans="2:161" ht="13.5" customHeight="1" x14ac:dyDescent="0.2">
      <c r="B22" s="158" t="s">
        <v>283</v>
      </c>
      <c r="C22" s="159" t="s">
        <v>188</v>
      </c>
      <c r="D22" s="171">
        <f t="shared" si="9"/>
        <v>2</v>
      </c>
      <c r="E22" s="171">
        <f>IF(COUNT(R22,U22,X22,AA22,AD22,AG22,AJ22,AM22,AP22,AS22,AV22,AY22,BB22,BE22,BH22,BK22,BN22,BQ22,BT22,BW22,CC22,CF22,CI22)=0,"-",COUNT(R22,U22,X22,AA22,AD22,AG22,AJ22,AM22,AP22,AS22,AV22,AY22,BB22,BE22,BH22,BK22,BN22,BQ22,BT22,BW22,CC22,CF22,CB))</f>
        <v>1</v>
      </c>
      <c r="F22" s="171">
        <f t="shared" si="10"/>
        <v>0</v>
      </c>
      <c r="G22" s="171">
        <f t="shared" si="11"/>
        <v>29</v>
      </c>
      <c r="H22" s="172">
        <f t="shared" si="12"/>
        <v>29</v>
      </c>
      <c r="I22" s="171"/>
      <c r="J22" s="173">
        <f t="shared" si="13"/>
        <v>29</v>
      </c>
      <c r="K22" s="171" t="str">
        <f t="shared" si="14"/>
        <v/>
      </c>
      <c r="L22" s="121"/>
      <c r="M22" s="178">
        <f t="shared" si="15"/>
        <v>22</v>
      </c>
      <c r="O22" s="294">
        <f t="shared" si="16"/>
        <v>29</v>
      </c>
      <c r="P22" s="177">
        <f t="shared" si="17"/>
        <v>0</v>
      </c>
      <c r="R22" s="299"/>
      <c r="S22" s="300"/>
      <c r="T22" s="264"/>
      <c r="U22" s="299"/>
      <c r="V22" s="300"/>
      <c r="W22" s="264"/>
      <c r="X22" s="299"/>
      <c r="Y22" s="300"/>
      <c r="Z22" s="264"/>
      <c r="AA22" s="299"/>
      <c r="AB22" s="300"/>
      <c r="AC22" s="264"/>
      <c r="AD22" s="299"/>
      <c r="AE22" s="300"/>
      <c r="AF22" s="264"/>
      <c r="AG22" s="299"/>
      <c r="AH22" s="300"/>
      <c r="AI22" s="264"/>
      <c r="AJ22" s="299"/>
      <c r="AK22" s="300"/>
      <c r="AL22" s="264"/>
      <c r="AM22" s="299"/>
      <c r="AN22" s="300"/>
      <c r="AO22" s="264"/>
      <c r="AP22" s="299"/>
      <c r="AQ22" s="300"/>
      <c r="AR22" s="264"/>
      <c r="AS22" s="299"/>
      <c r="AT22" s="300"/>
      <c r="AU22" s="264"/>
      <c r="AV22" s="299"/>
      <c r="AW22" s="300"/>
      <c r="AX22" s="264"/>
      <c r="AY22" s="299">
        <v>29</v>
      </c>
      <c r="AZ22" s="300"/>
      <c r="BA22" s="264"/>
      <c r="BB22" s="299"/>
      <c r="BC22" s="300"/>
      <c r="BD22" s="264"/>
      <c r="BE22" s="299" t="s">
        <v>192</v>
      </c>
      <c r="BF22" s="300"/>
      <c r="BG22" s="264"/>
      <c r="BH22" s="299"/>
      <c r="BI22" s="300"/>
      <c r="BJ22" s="264"/>
      <c r="BK22" s="299"/>
      <c r="BL22" s="300"/>
      <c r="BM22" s="264"/>
      <c r="BN22" s="299"/>
      <c r="BO22" s="300"/>
      <c r="BP22" s="264"/>
      <c r="BQ22" s="299"/>
      <c r="BR22" s="300"/>
      <c r="BS22" s="264"/>
      <c r="BT22" s="299"/>
      <c r="BU22" s="300"/>
      <c r="BV22" s="264"/>
      <c r="BW22" s="299"/>
      <c r="BX22" s="300"/>
      <c r="BY22" s="264"/>
      <c r="BZ22" s="269"/>
      <c r="CA22" s="270"/>
      <c r="CB22" s="268"/>
      <c r="CC22" s="269"/>
      <c r="CD22" s="270"/>
      <c r="CE22" s="270"/>
      <c r="CF22" s="269"/>
      <c r="CG22" s="268"/>
      <c r="CH22" s="268"/>
      <c r="CI22" s="269"/>
      <c r="CJ22" s="268"/>
      <c r="CP22" s="296"/>
      <c r="CQ22" s="296"/>
      <c r="CR22" s="296"/>
      <c r="CS22" s="296"/>
      <c r="CT22" s="172"/>
      <c r="CU22" s="171"/>
      <c r="CV22" s="297"/>
      <c r="CX22" s="177"/>
      <c r="DO22" s="154"/>
      <c r="EQ22" s="119"/>
      <c r="ER22" s="119"/>
      <c r="ES22" s="119"/>
      <c r="ET22" s="119"/>
      <c r="EU22" s="119"/>
      <c r="EV22" s="119"/>
      <c r="EW22" s="119"/>
      <c r="EX22" s="119"/>
      <c r="EY22" s="119"/>
      <c r="EZ22" s="119"/>
      <c r="FA22" s="119"/>
      <c r="FB22" s="119"/>
      <c r="FC22" s="119"/>
      <c r="FD22" s="119"/>
      <c r="FE22" s="119"/>
    </row>
    <row r="23" spans="2:161" ht="13.5" customHeight="1" x14ac:dyDescent="0.2">
      <c r="B23" s="158" t="s">
        <v>37</v>
      </c>
      <c r="C23" s="159" t="s">
        <v>190</v>
      </c>
      <c r="D23" s="171">
        <f t="shared" si="9"/>
        <v>2</v>
      </c>
      <c r="E23" s="171">
        <f>IF(COUNT(R23,U23,X23,AA23,AD23,AG23,AJ23,AM23,AP23,AS23,AV23,AY23,BB23,BE23,BH23,BK23,BN23,BQ23,BT23,BW23,CC23,CF23,CI23)=0,"-",COUNT(R23,U23,X23,AA23,AD23,AG23,AJ23,AM23,AP23,AS23,AV23,AY23,BB23,BE23,BH23,BK23,BN23,BQ23,BT23,BW23,CC23,CF23,CB))</f>
        <v>2</v>
      </c>
      <c r="F23" s="171">
        <f t="shared" si="10"/>
        <v>0</v>
      </c>
      <c r="G23" s="171">
        <f t="shared" si="11"/>
        <v>35</v>
      </c>
      <c r="H23" s="172">
        <f t="shared" si="12"/>
        <v>28</v>
      </c>
      <c r="I23" s="171"/>
      <c r="J23" s="173">
        <f t="shared" si="13"/>
        <v>17.5</v>
      </c>
      <c r="K23" s="171" t="str">
        <f t="shared" si="14"/>
        <v/>
      </c>
      <c r="L23" s="121"/>
      <c r="M23" s="178">
        <f t="shared" si="15"/>
        <v>21</v>
      </c>
      <c r="O23" s="294">
        <f t="shared" si="16"/>
        <v>17.5</v>
      </c>
      <c r="P23" s="177">
        <f t="shared" si="17"/>
        <v>0</v>
      </c>
      <c r="R23" s="299"/>
      <c r="S23" s="300"/>
      <c r="T23" s="264"/>
      <c r="U23" s="299"/>
      <c r="V23" s="300"/>
      <c r="W23" s="264"/>
      <c r="X23" s="299">
        <v>7</v>
      </c>
      <c r="Y23" s="300"/>
      <c r="Z23" s="264"/>
      <c r="AA23" s="299">
        <v>28</v>
      </c>
      <c r="AB23" s="300"/>
      <c r="AC23" s="264"/>
      <c r="AD23" s="299"/>
      <c r="AE23" s="300"/>
      <c r="AF23" s="264"/>
      <c r="AG23" s="299"/>
      <c r="AH23" s="300"/>
      <c r="AI23" s="264"/>
      <c r="AJ23" s="299"/>
      <c r="AK23" s="300"/>
      <c r="AL23" s="264"/>
      <c r="AM23" s="299"/>
      <c r="AN23" s="300"/>
      <c r="AO23" s="264"/>
      <c r="AP23" s="299"/>
      <c r="AQ23" s="300"/>
      <c r="AR23" s="264"/>
      <c r="AS23" s="299"/>
      <c r="AT23" s="300"/>
      <c r="AU23" s="264"/>
      <c r="AV23" s="299"/>
      <c r="AW23" s="300"/>
      <c r="AX23" s="264"/>
      <c r="AY23" s="299"/>
      <c r="AZ23" s="300"/>
      <c r="BA23" s="264"/>
      <c r="BB23" s="299"/>
      <c r="BC23" s="300"/>
      <c r="BD23" s="264"/>
      <c r="BE23" s="299"/>
      <c r="BF23" s="300"/>
      <c r="BG23" s="264"/>
      <c r="BH23" s="299"/>
      <c r="BI23" s="300"/>
      <c r="BJ23" s="264"/>
      <c r="BK23" s="299"/>
      <c r="BL23" s="300"/>
      <c r="BM23" s="264"/>
      <c r="BN23" s="299"/>
      <c r="BO23" s="300"/>
      <c r="BP23" s="264"/>
      <c r="BQ23" s="299"/>
      <c r="BR23" s="300"/>
      <c r="BS23" s="264"/>
      <c r="BT23" s="299"/>
      <c r="BU23" s="300"/>
      <c r="BV23" s="264"/>
      <c r="BW23" s="299"/>
      <c r="BX23" s="300"/>
      <c r="BY23" s="264"/>
      <c r="BZ23" s="269"/>
      <c r="CA23" s="270"/>
      <c r="CB23" s="268"/>
      <c r="CC23" s="269"/>
      <c r="CD23" s="270"/>
      <c r="CE23" s="270"/>
      <c r="CF23" s="269"/>
      <c r="CG23" s="268"/>
      <c r="CH23" s="268"/>
      <c r="CI23" s="269"/>
      <c r="CJ23" s="268"/>
      <c r="CP23" s="296"/>
      <c r="CQ23" s="296"/>
      <c r="CR23" s="296"/>
      <c r="CS23" s="296"/>
      <c r="CT23" s="172"/>
      <c r="CU23" s="171"/>
      <c r="CV23" s="297"/>
      <c r="CX23" s="177"/>
      <c r="DO23" s="154"/>
      <c r="EQ23" s="119"/>
      <c r="ER23" s="119"/>
      <c r="ES23" s="119"/>
      <c r="ET23" s="119"/>
      <c r="EU23" s="119"/>
      <c r="EV23" s="119"/>
      <c r="EW23" s="119"/>
      <c r="EX23" s="119"/>
      <c r="EY23" s="119"/>
      <c r="EZ23" s="119"/>
      <c r="FA23" s="119"/>
      <c r="FB23" s="119"/>
      <c r="FC23" s="119"/>
      <c r="FD23" s="119"/>
      <c r="FE23" s="119"/>
    </row>
    <row r="24" spans="2:161" ht="13.5" customHeight="1" x14ac:dyDescent="0.2">
      <c r="B24" s="158" t="s">
        <v>278</v>
      </c>
      <c r="C24" s="159" t="s">
        <v>188</v>
      </c>
      <c r="D24" s="171">
        <f t="shared" si="9"/>
        <v>1</v>
      </c>
      <c r="E24" s="171">
        <f>IF(COUNT(R24,U24,X24,AA24,AD24,AG24,AJ24,AM24,AP24,AS24,AV24,AY24,BB24,BE24,BH24,BK24,BN24,BQ24,BT24,BW24,CC24,CF24,CI24)=0,"-",COUNT(R24,U24,X24,AA24,AD24,AG24,AJ24,AM24,AP24,AS24,AV24,AY24,BB24,BE24,BH24,BK24,BN24,BQ24,BT24,BW24,CC24,CF24,CB))</f>
        <v>1</v>
      </c>
      <c r="F24" s="171">
        <f t="shared" si="10"/>
        <v>0</v>
      </c>
      <c r="G24" s="171">
        <f t="shared" si="11"/>
        <v>23</v>
      </c>
      <c r="H24" s="172">
        <f t="shared" si="12"/>
        <v>23</v>
      </c>
      <c r="I24" s="171"/>
      <c r="J24" s="173">
        <f t="shared" si="13"/>
        <v>23</v>
      </c>
      <c r="K24" s="171" t="str">
        <f t="shared" si="14"/>
        <v/>
      </c>
      <c r="L24" s="121"/>
      <c r="M24" s="178">
        <f t="shared" si="15"/>
        <v>16</v>
      </c>
      <c r="O24" s="294">
        <f t="shared" si="16"/>
        <v>23</v>
      </c>
      <c r="P24" s="177">
        <f t="shared" si="17"/>
        <v>0</v>
      </c>
      <c r="R24" s="299"/>
      <c r="S24" s="300"/>
      <c r="T24" s="264"/>
      <c r="U24" s="299"/>
      <c r="V24" s="300"/>
      <c r="W24" s="264"/>
      <c r="X24" s="299"/>
      <c r="Y24" s="300"/>
      <c r="Z24" s="264"/>
      <c r="AA24" s="299"/>
      <c r="AB24" s="300"/>
      <c r="AC24" s="264"/>
      <c r="AD24" s="299"/>
      <c r="AE24" s="300"/>
      <c r="AF24" s="264"/>
      <c r="AG24" s="299"/>
      <c r="AH24" s="300"/>
      <c r="AI24" s="264"/>
      <c r="AJ24" s="299"/>
      <c r="AK24" s="300"/>
      <c r="AL24" s="264"/>
      <c r="AM24" s="299"/>
      <c r="AN24" s="300"/>
      <c r="AO24" s="264"/>
      <c r="AP24" s="299">
        <v>23</v>
      </c>
      <c r="AQ24" s="300"/>
      <c r="AR24" s="264"/>
      <c r="AS24" s="299"/>
      <c r="AT24" s="300"/>
      <c r="AU24" s="264"/>
      <c r="AV24" s="299"/>
      <c r="AW24" s="300"/>
      <c r="AX24" s="264"/>
      <c r="AY24" s="299"/>
      <c r="AZ24" s="300"/>
      <c r="BA24" s="264"/>
      <c r="BB24" s="299"/>
      <c r="BC24" s="300"/>
      <c r="BD24" s="264"/>
      <c r="BE24" s="299"/>
      <c r="BF24" s="300"/>
      <c r="BG24" s="264"/>
      <c r="BH24" s="299"/>
      <c r="BI24" s="300"/>
      <c r="BJ24" s="264"/>
      <c r="BK24" s="299"/>
      <c r="BL24" s="300"/>
      <c r="BM24" s="264"/>
      <c r="BN24" s="299"/>
      <c r="BO24" s="300"/>
      <c r="BP24" s="264"/>
      <c r="BQ24" s="299"/>
      <c r="BR24" s="300"/>
      <c r="BS24" s="264"/>
      <c r="BT24" s="299"/>
      <c r="BU24" s="300"/>
      <c r="BV24" s="264"/>
      <c r="BW24" s="299"/>
      <c r="BX24" s="300"/>
      <c r="BY24" s="264"/>
      <c r="BZ24" s="269"/>
      <c r="CA24" s="270"/>
      <c r="CB24" s="268"/>
      <c r="CC24" s="269"/>
      <c r="CD24" s="270"/>
      <c r="CE24" s="270"/>
      <c r="CF24" s="269"/>
      <c r="CG24" s="268"/>
      <c r="CH24" s="268"/>
      <c r="CI24" s="269"/>
      <c r="CJ24" s="268"/>
      <c r="CP24" s="296"/>
      <c r="CQ24" s="296"/>
      <c r="CR24" s="296"/>
      <c r="CS24" s="296"/>
      <c r="CT24" s="172"/>
      <c r="CU24" s="171"/>
      <c r="CV24" s="297"/>
      <c r="CX24" s="177"/>
      <c r="DO24" s="154"/>
      <c r="EQ24" s="119"/>
      <c r="ER24" s="119"/>
      <c r="ES24" s="119"/>
      <c r="ET24" s="119"/>
      <c r="EU24" s="119"/>
      <c r="EV24" s="119"/>
      <c r="EW24" s="119"/>
      <c r="EX24" s="119"/>
      <c r="EY24" s="119"/>
      <c r="EZ24" s="119"/>
      <c r="FA24" s="119"/>
      <c r="FB24" s="119"/>
      <c r="FC24" s="119"/>
      <c r="FD24" s="119"/>
      <c r="FE24" s="119"/>
    </row>
    <row r="25" spans="2:161" ht="13.5" customHeight="1" x14ac:dyDescent="0.2">
      <c r="B25" s="158" t="s">
        <v>217</v>
      </c>
      <c r="C25" s="159" t="s">
        <v>188</v>
      </c>
      <c r="D25" s="171">
        <f t="shared" si="9"/>
        <v>6</v>
      </c>
      <c r="E25" s="171">
        <f>IF(COUNT(R25,U25,X25,AA25,AD25,AG25,AJ25,AM25,AP25,AS25,AV25,AY25,BB25,BE25,BH25,BK25,BN25,BQ25,BT25,BW25,CC25,CF25,CI25)=0,"-",COUNT(R25,U25,X25,AA25,AD25,AG25,AJ25,AM25,AP25,AS25,AV25,AY25,BB25,BE25,BH25,BK25,BN25,BQ25,BT25,BW25,CC25,CF25,CB))</f>
        <v>6</v>
      </c>
      <c r="F25" s="171">
        <f t="shared" si="10"/>
        <v>1</v>
      </c>
      <c r="G25" s="171">
        <f t="shared" si="11"/>
        <v>45</v>
      </c>
      <c r="H25" s="172">
        <f t="shared" si="12"/>
        <v>15</v>
      </c>
      <c r="I25" s="171"/>
      <c r="J25" s="173">
        <f t="shared" si="13"/>
        <v>9</v>
      </c>
      <c r="K25" s="171" t="str">
        <f t="shared" si="14"/>
        <v/>
      </c>
      <c r="L25" s="121"/>
      <c r="M25" s="178">
        <f t="shared" si="15"/>
        <v>10</v>
      </c>
      <c r="O25" s="294">
        <f t="shared" si="16"/>
        <v>9</v>
      </c>
      <c r="P25" s="177">
        <f t="shared" si="17"/>
        <v>1</v>
      </c>
      <c r="Q25" s="121"/>
      <c r="R25" s="299"/>
      <c r="S25" s="300"/>
      <c r="T25" s="266"/>
      <c r="U25" s="299"/>
      <c r="V25" s="300"/>
      <c r="W25" s="266"/>
      <c r="X25" s="299"/>
      <c r="Y25" s="300"/>
      <c r="Z25" s="266"/>
      <c r="AA25" s="299">
        <v>15</v>
      </c>
      <c r="AB25" s="300"/>
      <c r="AC25" s="266"/>
      <c r="AD25" s="299"/>
      <c r="AE25" s="300"/>
      <c r="AF25" s="266"/>
      <c r="AG25" s="299"/>
      <c r="AH25" s="300"/>
      <c r="AI25" s="266"/>
      <c r="AJ25" s="299"/>
      <c r="AK25" s="300"/>
      <c r="AL25" s="266"/>
      <c r="AM25" s="299">
        <v>12</v>
      </c>
      <c r="AN25" s="300"/>
      <c r="AO25" s="266"/>
      <c r="AP25" s="299"/>
      <c r="AQ25" s="300"/>
      <c r="AR25" s="266"/>
      <c r="AS25" s="299"/>
      <c r="AT25" s="300"/>
      <c r="AU25" s="266"/>
      <c r="AV25" s="299"/>
      <c r="AW25" s="300"/>
      <c r="AX25" s="266"/>
      <c r="AY25" s="299">
        <v>6</v>
      </c>
      <c r="AZ25" s="300"/>
      <c r="BA25" s="266"/>
      <c r="BB25" s="299"/>
      <c r="BC25" s="300"/>
      <c r="BD25" s="266"/>
      <c r="BE25" s="299"/>
      <c r="BF25" s="300"/>
      <c r="BG25" s="266"/>
      <c r="BH25" s="299"/>
      <c r="BI25" s="300"/>
      <c r="BJ25" s="266"/>
      <c r="BK25" s="299">
        <v>3</v>
      </c>
      <c r="BL25" s="300" t="s">
        <v>117</v>
      </c>
      <c r="BM25" s="266"/>
      <c r="BN25" s="299"/>
      <c r="BO25" s="300"/>
      <c r="BP25" s="266"/>
      <c r="BQ25" s="299">
        <v>1</v>
      </c>
      <c r="BR25" s="300"/>
      <c r="BS25" s="266"/>
      <c r="BT25" s="299">
        <v>8</v>
      </c>
      <c r="BU25" s="300"/>
      <c r="BV25" s="266"/>
      <c r="BW25" s="299"/>
      <c r="BX25" s="300"/>
      <c r="BY25" s="266"/>
      <c r="BZ25" s="269"/>
      <c r="CA25" s="270"/>
      <c r="CB25" s="268"/>
      <c r="CC25" s="269"/>
      <c r="CD25" s="270"/>
      <c r="CE25" s="270"/>
      <c r="CF25" s="269"/>
      <c r="CG25" s="268"/>
      <c r="CH25" s="268"/>
      <c r="CI25" s="269"/>
      <c r="CJ25" s="268"/>
      <c r="CP25" s="296"/>
      <c r="CQ25" s="296"/>
      <c r="CR25" s="296"/>
      <c r="CS25" s="296"/>
      <c r="CT25" s="172"/>
      <c r="CU25" s="171"/>
      <c r="CV25" s="297"/>
      <c r="CX25" s="177"/>
      <c r="EQ25" s="119"/>
      <c r="ER25" s="119"/>
      <c r="ES25" s="119"/>
      <c r="ET25" s="119"/>
      <c r="EU25" s="119"/>
      <c r="EV25" s="119"/>
      <c r="EW25" s="119"/>
      <c r="EX25" s="119"/>
      <c r="EY25" s="119"/>
      <c r="EZ25" s="119"/>
      <c r="FA25" s="119"/>
      <c r="FB25" s="119"/>
      <c r="FC25" s="119"/>
      <c r="FD25" s="119"/>
      <c r="FE25" s="119"/>
    </row>
    <row r="26" spans="2:161" ht="13.5" customHeight="1" x14ac:dyDescent="0.2">
      <c r="B26" s="158" t="s">
        <v>273</v>
      </c>
      <c r="C26" s="159" t="s">
        <v>274</v>
      </c>
      <c r="D26" s="171">
        <f t="shared" si="9"/>
        <v>3</v>
      </c>
      <c r="E26" s="171">
        <f>IF(COUNT(R26,U26,X26,AA26,AD26,AG26,AJ26,AM26,AP26,AS26,AV26,AY26,BB26,BE26,BH26,BK26,BN26,BQ26,BT26,BW26,CC26,CF26,CI26)=0,"-",COUNT(R26,U26,X26,AA26,AD26,AG26,AJ26,AM26,AP26,AS26,AV26,AY26,BB26,BE26,BH26,BK26,BN26,BQ26,BT26,BW26,CC26,CF26,CB))</f>
        <v>2</v>
      </c>
      <c r="F26" s="171">
        <f t="shared" si="10"/>
        <v>0</v>
      </c>
      <c r="G26" s="171">
        <f t="shared" si="11"/>
        <v>23</v>
      </c>
      <c r="H26" s="172">
        <f t="shared" si="12"/>
        <v>23</v>
      </c>
      <c r="I26" s="171"/>
      <c r="J26" s="173">
        <f t="shared" si="13"/>
        <v>11.5</v>
      </c>
      <c r="K26" s="171" t="str">
        <f t="shared" si="14"/>
        <v/>
      </c>
      <c r="L26" s="121"/>
      <c r="M26" s="178">
        <f t="shared" si="15"/>
        <v>9</v>
      </c>
      <c r="O26" s="294">
        <f t="shared" si="16"/>
        <v>23.375</v>
      </c>
      <c r="P26" s="177">
        <f t="shared" si="17"/>
        <v>3</v>
      </c>
      <c r="Q26" s="121"/>
      <c r="R26" s="299"/>
      <c r="S26" s="300"/>
      <c r="T26" s="266"/>
      <c r="U26" s="299"/>
      <c r="V26" s="300"/>
      <c r="W26" s="266"/>
      <c r="X26" s="299"/>
      <c r="Y26" s="300"/>
      <c r="Z26" s="266"/>
      <c r="AA26" s="299"/>
      <c r="AB26" s="300"/>
      <c r="AC26" s="266"/>
      <c r="AD26" s="299"/>
      <c r="AE26" s="300"/>
      <c r="AF26" s="266"/>
      <c r="AG26" s="299"/>
      <c r="AH26" s="300"/>
      <c r="AI26" s="266"/>
      <c r="AJ26" s="299">
        <v>23</v>
      </c>
      <c r="AK26" s="300"/>
      <c r="AL26" s="266"/>
      <c r="AM26" s="299">
        <v>0</v>
      </c>
      <c r="AN26" s="300"/>
      <c r="AO26" s="266"/>
      <c r="AP26" s="299" t="s">
        <v>192</v>
      </c>
      <c r="AQ26" s="300"/>
      <c r="AR26" s="266"/>
      <c r="AS26" s="299"/>
      <c r="AT26" s="300"/>
      <c r="AU26" s="266"/>
      <c r="AV26" s="299"/>
      <c r="AW26" s="300"/>
      <c r="AX26" s="266"/>
      <c r="AY26" s="299"/>
      <c r="AZ26" s="300"/>
      <c r="BA26" s="266"/>
      <c r="BB26" s="299"/>
      <c r="BC26" s="300"/>
      <c r="BD26" s="266"/>
      <c r="BE26" s="299"/>
      <c r="BF26" s="300"/>
      <c r="BG26" s="266"/>
      <c r="BH26" s="299"/>
      <c r="BI26" s="300"/>
      <c r="BJ26" s="266"/>
      <c r="BK26" s="299"/>
      <c r="BL26" s="300"/>
      <c r="BM26" s="266"/>
      <c r="BN26" s="299"/>
      <c r="BO26" s="300"/>
      <c r="BP26" s="266"/>
      <c r="BQ26" s="299"/>
      <c r="BR26" s="300"/>
      <c r="BS26" s="266"/>
      <c r="BT26" s="299"/>
      <c r="BU26" s="300"/>
      <c r="BV26" s="266"/>
      <c r="BW26" s="299"/>
      <c r="BX26" s="300"/>
      <c r="BY26" s="266"/>
      <c r="BZ26" s="269"/>
      <c r="CA26" s="269"/>
      <c r="CB26" s="269"/>
      <c r="CC26" s="269"/>
      <c r="CD26" s="269"/>
      <c r="CE26" s="269"/>
      <c r="CF26" s="269"/>
      <c r="CG26" s="268"/>
      <c r="CH26" s="268"/>
      <c r="CI26" s="269"/>
      <c r="CJ26" s="268"/>
      <c r="CP26" s="296">
        <v>9</v>
      </c>
      <c r="CQ26" s="296">
        <v>7</v>
      </c>
      <c r="CR26" s="296">
        <v>1</v>
      </c>
      <c r="CS26" s="296">
        <v>164</v>
      </c>
      <c r="CT26" s="172">
        <v>76</v>
      </c>
      <c r="CU26" s="171" t="s">
        <v>117</v>
      </c>
      <c r="CV26" s="297">
        <f>IF(CQ26="-","-",IF(CQ26-CR26=0,CS26,CS26/(CQ26-CR26)))</f>
        <v>27.333333333333332</v>
      </c>
      <c r="CX26" s="298"/>
      <c r="EQ26" s="119"/>
      <c r="ER26" s="119"/>
      <c r="ES26" s="119"/>
      <c r="ET26" s="119"/>
      <c r="EU26" s="119"/>
      <c r="EV26" s="119"/>
      <c r="EW26" s="119"/>
      <c r="EX26" s="119"/>
      <c r="EY26" s="119"/>
      <c r="EZ26" s="119"/>
      <c r="FA26" s="119"/>
      <c r="FB26" s="119"/>
      <c r="FC26" s="119"/>
      <c r="FD26" s="119"/>
      <c r="FE26" s="119"/>
    </row>
    <row r="27" spans="2:161" ht="13.5" customHeight="1" x14ac:dyDescent="0.2">
      <c r="B27" s="158" t="s">
        <v>218</v>
      </c>
      <c r="C27" s="159" t="s">
        <v>222</v>
      </c>
      <c r="D27" s="171">
        <f t="shared" si="9"/>
        <v>1</v>
      </c>
      <c r="E27" s="171">
        <f>IF(COUNT(R27,U27,X27,AA27,AD27,AG27,AJ27,AM27,AP27,AS27,AV27,AY27,BB27,BE27,BH27,BK27,BN27,BQ27,BT27,BW27,CC27,CF27,CI27)=0,"-",COUNT(R27,U27,X27,AA27,AD27,AG27,AJ27,AM27,AP27,AS27,AV27,AY27,BB27,BE27,BH27,BK27,BN27,BQ27,BT27,BW27,CC27,CF27,CB))</f>
        <v>1</v>
      </c>
      <c r="F27" s="171">
        <f t="shared" si="10"/>
        <v>0</v>
      </c>
      <c r="G27" s="171">
        <f t="shared" si="11"/>
        <v>12</v>
      </c>
      <c r="H27" s="172">
        <f t="shared" si="12"/>
        <v>12</v>
      </c>
      <c r="I27" s="171"/>
      <c r="J27" s="173">
        <f t="shared" si="13"/>
        <v>12</v>
      </c>
      <c r="K27" s="171" t="str">
        <f t="shared" si="14"/>
        <v/>
      </c>
      <c r="L27" s="121"/>
      <c r="M27" s="178">
        <f t="shared" si="15"/>
        <v>5</v>
      </c>
      <c r="N27" s="144"/>
      <c r="O27" s="294">
        <f t="shared" si="16"/>
        <v>12</v>
      </c>
      <c r="P27" s="177">
        <f t="shared" si="17"/>
        <v>0</v>
      </c>
      <c r="R27" s="299"/>
      <c r="S27" s="300"/>
      <c r="T27" s="264"/>
      <c r="U27" s="299"/>
      <c r="V27" s="300"/>
      <c r="W27" s="264"/>
      <c r="X27" s="299"/>
      <c r="Y27" s="300"/>
      <c r="Z27" s="264"/>
      <c r="AA27" s="299"/>
      <c r="AB27" s="300"/>
      <c r="AC27" s="264"/>
      <c r="AD27" s="299"/>
      <c r="AE27" s="300"/>
      <c r="AF27" s="264"/>
      <c r="AG27" s="299"/>
      <c r="AH27" s="300"/>
      <c r="AI27" s="264"/>
      <c r="AJ27" s="299"/>
      <c r="AK27" s="300"/>
      <c r="AL27" s="264"/>
      <c r="AM27" s="299"/>
      <c r="AN27" s="300"/>
      <c r="AO27" s="264"/>
      <c r="AP27" s="299"/>
      <c r="AQ27" s="300"/>
      <c r="AR27" s="264"/>
      <c r="AS27" s="299"/>
      <c r="AT27" s="300"/>
      <c r="AU27" s="264"/>
      <c r="AV27" s="299">
        <v>12</v>
      </c>
      <c r="AW27" s="300"/>
      <c r="AX27" s="264"/>
      <c r="AY27" s="299"/>
      <c r="AZ27" s="300"/>
      <c r="BA27" s="264"/>
      <c r="BB27" s="299"/>
      <c r="BC27" s="300"/>
      <c r="BD27" s="264"/>
      <c r="BE27" s="299"/>
      <c r="BF27" s="300"/>
      <c r="BG27" s="264"/>
      <c r="BH27" s="299"/>
      <c r="BI27" s="300"/>
      <c r="BJ27" s="264"/>
      <c r="BK27" s="299"/>
      <c r="BL27" s="300"/>
      <c r="BM27" s="264"/>
      <c r="BN27" s="299"/>
      <c r="BO27" s="300"/>
      <c r="BP27" s="264"/>
      <c r="BQ27" s="299"/>
      <c r="BR27" s="300"/>
      <c r="BS27" s="264"/>
      <c r="BT27" s="299"/>
      <c r="BU27" s="300"/>
      <c r="BV27" s="264"/>
      <c r="BW27" s="299"/>
      <c r="BX27" s="300"/>
      <c r="BY27" s="264"/>
      <c r="BZ27" s="269"/>
      <c r="CA27" s="270"/>
      <c r="CB27" s="268"/>
      <c r="CC27" s="269"/>
      <c r="CD27" s="270"/>
      <c r="CE27" s="270"/>
      <c r="CF27" s="269"/>
      <c r="CG27" s="268"/>
      <c r="CH27" s="268"/>
      <c r="CI27" s="269"/>
      <c r="CJ27" s="268"/>
      <c r="CP27" s="296"/>
      <c r="CQ27" s="296"/>
      <c r="CR27" s="296"/>
      <c r="CS27" s="296"/>
      <c r="CT27" s="172"/>
      <c r="CU27" s="171"/>
      <c r="CV27" s="297"/>
      <c r="CX27" s="177"/>
      <c r="DO27" s="154"/>
      <c r="EQ27" s="119"/>
      <c r="ER27" s="119"/>
      <c r="ES27" s="119"/>
      <c r="ET27" s="119"/>
      <c r="EU27" s="119"/>
      <c r="EV27" s="119"/>
      <c r="EW27" s="119"/>
      <c r="EX27" s="119"/>
      <c r="EY27" s="119"/>
      <c r="EZ27" s="119"/>
      <c r="FA27" s="119"/>
      <c r="FB27" s="119"/>
      <c r="FC27" s="119"/>
      <c r="FD27" s="119"/>
      <c r="FE27" s="119"/>
    </row>
    <row r="28" spans="2:161" ht="13.5" customHeight="1" x14ac:dyDescent="0.2">
      <c r="B28" s="158" t="s">
        <v>221</v>
      </c>
      <c r="C28" s="159" t="s">
        <v>189</v>
      </c>
      <c r="D28" s="171">
        <f t="shared" si="9"/>
        <v>1</v>
      </c>
      <c r="E28" s="171">
        <f>IF(COUNT(R28,U28,X28,AA28,AD28,AG28,AJ28,AM28,AP28,AS28,AV28,AY28,BB28,BE28,BH28,BK28,BN28,BQ28,BT28,BW28,CC28,CF28,CI28)=0,"-",COUNT(R28,U28,X28,AA28,AD28,AG28,AJ28,AM28,AP28,AS28,AV28,AY28,BB28,BE28,BH28,BK28,BN28,BQ28,BT28,BW28,CC28,CF28,CB))</f>
        <v>1</v>
      </c>
      <c r="F28" s="171">
        <f t="shared" si="10"/>
        <v>1</v>
      </c>
      <c r="G28" s="171">
        <f t="shared" si="11"/>
        <v>4</v>
      </c>
      <c r="H28" s="172">
        <f t="shared" si="12"/>
        <v>4</v>
      </c>
      <c r="I28" s="171"/>
      <c r="J28" s="173">
        <f t="shared" si="13"/>
        <v>4</v>
      </c>
      <c r="K28" s="171" t="str">
        <f t="shared" si="14"/>
        <v>*</v>
      </c>
      <c r="L28" s="121"/>
      <c r="M28" s="178">
        <f t="shared" si="15"/>
        <v>4</v>
      </c>
      <c r="O28" s="294">
        <f t="shared" si="16"/>
        <v>4</v>
      </c>
      <c r="P28" s="177">
        <f t="shared" si="17"/>
        <v>0</v>
      </c>
      <c r="R28" s="299"/>
      <c r="S28" s="300"/>
      <c r="T28" s="264"/>
      <c r="U28" s="299"/>
      <c r="V28" s="300"/>
      <c r="W28" s="264"/>
      <c r="X28" s="299"/>
      <c r="Y28" s="300"/>
      <c r="Z28" s="264"/>
      <c r="AA28" s="299"/>
      <c r="AB28" s="300"/>
      <c r="AC28" s="264"/>
      <c r="AD28" s="299"/>
      <c r="AE28" s="300"/>
      <c r="AF28" s="264"/>
      <c r="AG28" s="299"/>
      <c r="AH28" s="300"/>
      <c r="AI28" s="264"/>
      <c r="AJ28" s="299"/>
      <c r="AK28" s="300"/>
      <c r="AL28" s="264"/>
      <c r="AM28" s="299"/>
      <c r="AN28" s="300"/>
      <c r="AO28" s="264"/>
      <c r="AP28" s="299">
        <v>4</v>
      </c>
      <c r="AQ28" s="300" t="s">
        <v>117</v>
      </c>
      <c r="AR28" s="264"/>
      <c r="AS28" s="299"/>
      <c r="AT28" s="300"/>
      <c r="AU28" s="264"/>
      <c r="AV28" s="299"/>
      <c r="AW28" s="300"/>
      <c r="AX28" s="264"/>
      <c r="AY28" s="299"/>
      <c r="AZ28" s="300"/>
      <c r="BA28" s="264"/>
      <c r="BB28" s="299"/>
      <c r="BC28" s="300"/>
      <c r="BD28" s="264"/>
      <c r="BE28" s="299"/>
      <c r="BF28" s="300"/>
      <c r="BG28" s="264"/>
      <c r="BH28" s="299"/>
      <c r="BI28" s="300"/>
      <c r="BJ28" s="264"/>
      <c r="BK28" s="299"/>
      <c r="BL28" s="300"/>
      <c r="BM28" s="264"/>
      <c r="BN28" s="299"/>
      <c r="BO28" s="300"/>
      <c r="BP28" s="264"/>
      <c r="BQ28" s="299"/>
      <c r="BR28" s="300"/>
      <c r="BS28" s="264"/>
      <c r="BT28" s="299"/>
      <c r="BU28" s="300"/>
      <c r="BV28" s="264"/>
      <c r="BW28" s="299"/>
      <c r="BX28" s="300"/>
      <c r="BY28" s="264"/>
      <c r="BZ28" s="269"/>
      <c r="CA28" s="270"/>
      <c r="CB28" s="268"/>
      <c r="CC28" s="269"/>
      <c r="CD28" s="270"/>
      <c r="CE28" s="270"/>
      <c r="CF28" s="269"/>
      <c r="CG28" s="268"/>
      <c r="CH28" s="268"/>
      <c r="CI28" s="269"/>
      <c r="CJ28" s="268"/>
      <c r="CP28" s="296"/>
      <c r="CQ28" s="296"/>
      <c r="CR28" s="296"/>
      <c r="CS28" s="296"/>
      <c r="CT28" s="172"/>
      <c r="CU28" s="171"/>
      <c r="CV28" s="297"/>
      <c r="CX28" s="177"/>
      <c r="DO28" s="154"/>
      <c r="EQ28" s="119"/>
      <c r="ER28" s="119"/>
      <c r="ES28" s="119"/>
      <c r="ET28" s="119"/>
      <c r="EU28" s="119"/>
      <c r="EV28" s="119"/>
      <c r="EW28" s="119"/>
      <c r="EX28" s="119"/>
      <c r="EY28" s="119"/>
      <c r="EZ28" s="119"/>
      <c r="FA28" s="119"/>
      <c r="FB28" s="119"/>
      <c r="FC28" s="119"/>
      <c r="FD28" s="119"/>
      <c r="FE28" s="119"/>
    </row>
    <row r="29" spans="2:161" ht="13.5" customHeight="1" x14ac:dyDescent="0.2">
      <c r="B29" s="158" t="s">
        <v>219</v>
      </c>
      <c r="C29" s="159" t="s">
        <v>191</v>
      </c>
      <c r="D29" s="171">
        <f t="shared" si="9"/>
        <v>1</v>
      </c>
      <c r="E29" s="171">
        <f>IF(COUNT(R29,U29,X29,AA29,AD29,AG29,AJ29,AM29,AP29,AS29,AV29,AY29,BB29,BE29,BH29,BK29,BN29,BQ29,BT29,BW29,CC29,CF29,CI29)=0,"-",COUNT(R29,U29,X29,AA29,AD29,AG29,AJ29,AM29,AP29,AS29,AV29,AY29,BB29,BE29,BH29,BK29,BN29,BQ29,BT29,BW29,CC29,CF29,CB))</f>
        <v>1</v>
      </c>
      <c r="F29" s="171">
        <f t="shared" si="10"/>
        <v>0</v>
      </c>
      <c r="G29" s="171">
        <f t="shared" si="11"/>
        <v>9</v>
      </c>
      <c r="H29" s="172">
        <f t="shared" si="12"/>
        <v>9</v>
      </c>
      <c r="I29" s="171"/>
      <c r="J29" s="173">
        <f t="shared" si="13"/>
        <v>9</v>
      </c>
      <c r="K29" s="171" t="str">
        <f t="shared" si="14"/>
        <v/>
      </c>
      <c r="L29" s="121"/>
      <c r="M29" s="178">
        <f t="shared" si="15"/>
        <v>2</v>
      </c>
      <c r="O29" s="294">
        <f t="shared" si="16"/>
        <v>9</v>
      </c>
      <c r="P29" s="177">
        <f t="shared" si="17"/>
        <v>0</v>
      </c>
      <c r="Q29" s="121"/>
      <c r="R29" s="299"/>
      <c r="S29" s="300"/>
      <c r="T29" s="266"/>
      <c r="U29" s="299"/>
      <c r="V29" s="300"/>
      <c r="W29" s="266"/>
      <c r="X29" s="299"/>
      <c r="Y29" s="300"/>
      <c r="Z29" s="266"/>
      <c r="AA29" s="299"/>
      <c r="AB29" s="300"/>
      <c r="AC29" s="266"/>
      <c r="AD29" s="299"/>
      <c r="AE29" s="300"/>
      <c r="AF29" s="266"/>
      <c r="AG29" s="299"/>
      <c r="AH29" s="300"/>
      <c r="AI29" s="266"/>
      <c r="AJ29" s="299"/>
      <c r="AK29" s="300"/>
      <c r="AL29" s="266"/>
      <c r="AM29" s="299"/>
      <c r="AN29" s="300"/>
      <c r="AO29" s="266"/>
      <c r="AP29" s="299"/>
      <c r="AQ29" s="300"/>
      <c r="AR29" s="266"/>
      <c r="AS29" s="299"/>
      <c r="AT29" s="300"/>
      <c r="AU29" s="266"/>
      <c r="AV29" s="299"/>
      <c r="AW29" s="300"/>
      <c r="AX29" s="266"/>
      <c r="AY29" s="299"/>
      <c r="AZ29" s="300"/>
      <c r="BA29" s="266"/>
      <c r="BB29" s="299"/>
      <c r="BC29" s="300"/>
      <c r="BD29" s="266"/>
      <c r="BE29" s="299">
        <v>9</v>
      </c>
      <c r="BF29" s="300"/>
      <c r="BG29" s="266"/>
      <c r="BH29" s="299"/>
      <c r="BI29" s="300"/>
      <c r="BJ29" s="266"/>
      <c r="BK29" s="299"/>
      <c r="BL29" s="300"/>
      <c r="BM29" s="266"/>
      <c r="BN29" s="299"/>
      <c r="BO29" s="300"/>
      <c r="BP29" s="266"/>
      <c r="BQ29" s="299"/>
      <c r="BR29" s="300"/>
      <c r="BS29" s="266"/>
      <c r="BT29" s="299"/>
      <c r="BU29" s="300"/>
      <c r="BV29" s="266"/>
      <c r="BW29" s="299"/>
      <c r="BX29" s="300"/>
      <c r="BY29" s="266"/>
      <c r="BZ29" s="269"/>
      <c r="CA29" s="270"/>
      <c r="CB29" s="268"/>
      <c r="CC29" s="269"/>
      <c r="CD29" s="270"/>
      <c r="CE29" s="270"/>
      <c r="CF29" s="269"/>
      <c r="CG29" s="268"/>
      <c r="CH29" s="268"/>
      <c r="CI29" s="269"/>
      <c r="CJ29" s="268"/>
      <c r="CP29" s="296"/>
      <c r="CQ29" s="296"/>
      <c r="CR29" s="296"/>
      <c r="CS29" s="296"/>
      <c r="CT29" s="172"/>
      <c r="CU29" s="171"/>
      <c r="CV29" s="297"/>
      <c r="CX29" s="177"/>
      <c r="EQ29" s="119"/>
      <c r="ER29" s="119"/>
      <c r="ES29" s="119"/>
      <c r="ET29" s="119"/>
      <c r="EU29" s="119"/>
      <c r="EV29" s="119"/>
      <c r="EW29" s="119"/>
      <c r="EX29" s="119"/>
      <c r="EY29" s="119"/>
      <c r="EZ29" s="119"/>
      <c r="FA29" s="119"/>
      <c r="FB29" s="119"/>
      <c r="FC29" s="119"/>
      <c r="FD29" s="119"/>
      <c r="FE29" s="119"/>
    </row>
    <row r="30" spans="2:161" ht="13.5" customHeight="1" x14ac:dyDescent="0.2">
      <c r="B30" s="158" t="s">
        <v>138</v>
      </c>
      <c r="C30" s="159" t="s">
        <v>193</v>
      </c>
      <c r="D30" s="171">
        <f t="shared" si="9"/>
        <v>2</v>
      </c>
      <c r="E30" s="171">
        <f>IF(COUNT(R30,U30,X30,AA30,AD30,AG30,AJ30,AM30,AP30,AS30,AV30,AY30,BB30,BE30,BH30,BK30,BN30,BQ30,BT30,BW30,CC30,CF30,CI30)=0,"-",COUNT(R30,U30,X30,AA30,AD30,AG30,AJ30,AM30,AP30,AS30,AV30,AY30,BB30,BE30,BH30,BK30,BN30,BQ30,BT30,BW30,CC30,CF30,CB))</f>
        <v>2</v>
      </c>
      <c r="F30" s="171">
        <f t="shared" si="10"/>
        <v>0</v>
      </c>
      <c r="G30" s="171">
        <f t="shared" si="11"/>
        <v>15</v>
      </c>
      <c r="H30" s="172">
        <f t="shared" si="12"/>
        <v>15</v>
      </c>
      <c r="I30" s="171"/>
      <c r="J30" s="173">
        <f t="shared" si="13"/>
        <v>7.5</v>
      </c>
      <c r="K30" s="171" t="str">
        <f t="shared" si="14"/>
        <v/>
      </c>
      <c r="L30" s="121"/>
      <c r="M30" s="178">
        <f t="shared" si="15"/>
        <v>1</v>
      </c>
      <c r="N30" s="144"/>
      <c r="O30" s="294">
        <f t="shared" si="16"/>
        <v>35.75</v>
      </c>
      <c r="P30" s="177">
        <f t="shared" si="17"/>
        <v>4</v>
      </c>
      <c r="R30" s="299"/>
      <c r="S30" s="300"/>
      <c r="T30" s="264"/>
      <c r="U30" s="299"/>
      <c r="V30" s="300"/>
      <c r="W30" s="264"/>
      <c r="X30" s="299"/>
      <c r="Y30" s="300"/>
      <c r="Z30" s="264"/>
      <c r="AA30" s="299"/>
      <c r="AB30" s="300"/>
      <c r="AC30" s="264"/>
      <c r="AD30" s="299">
        <v>0</v>
      </c>
      <c r="AE30" s="300"/>
      <c r="AF30" s="264"/>
      <c r="AG30" s="299"/>
      <c r="AH30" s="300"/>
      <c r="AI30" s="264"/>
      <c r="AJ30" s="299"/>
      <c r="AK30" s="300"/>
      <c r="AL30" s="264"/>
      <c r="AM30" s="299"/>
      <c r="AN30" s="300"/>
      <c r="AO30" s="264"/>
      <c r="AP30" s="299"/>
      <c r="AQ30" s="300"/>
      <c r="AR30" s="264"/>
      <c r="AS30" s="299">
        <v>15</v>
      </c>
      <c r="AT30" s="300"/>
      <c r="AU30" s="264"/>
      <c r="AV30" s="299"/>
      <c r="AW30" s="300"/>
      <c r="AX30" s="264"/>
      <c r="AY30" s="299"/>
      <c r="AZ30" s="300"/>
      <c r="BA30" s="264"/>
      <c r="BB30" s="299"/>
      <c r="BC30" s="300"/>
      <c r="BD30" s="264"/>
      <c r="BE30" s="299"/>
      <c r="BF30" s="300"/>
      <c r="BG30" s="264"/>
      <c r="BH30" s="299"/>
      <c r="BI30" s="300"/>
      <c r="BJ30" s="264"/>
      <c r="BK30" s="299"/>
      <c r="BL30" s="300"/>
      <c r="BM30" s="264"/>
      <c r="BN30" s="299"/>
      <c r="BO30" s="300"/>
      <c r="BP30" s="264"/>
      <c r="BQ30" s="299"/>
      <c r="BR30" s="300"/>
      <c r="BS30" s="264"/>
      <c r="BT30" s="299"/>
      <c r="BU30" s="300"/>
      <c r="BV30" s="264"/>
      <c r="BW30" s="299"/>
      <c r="BX30" s="300"/>
      <c r="BY30" s="264"/>
      <c r="BZ30" s="269"/>
      <c r="CA30" s="270"/>
      <c r="CB30" s="268"/>
      <c r="CC30" s="269"/>
      <c r="CD30" s="270"/>
      <c r="CE30" s="270"/>
      <c r="CF30" s="269"/>
      <c r="CG30" s="268"/>
      <c r="CH30" s="268"/>
      <c r="CI30" s="269"/>
      <c r="CJ30" s="268"/>
      <c r="CP30" s="296">
        <v>25</v>
      </c>
      <c r="CQ30" s="296">
        <v>23</v>
      </c>
      <c r="CR30" s="296">
        <v>5</v>
      </c>
      <c r="CS30" s="296">
        <v>700</v>
      </c>
      <c r="CT30" s="172">
        <v>143</v>
      </c>
      <c r="CU30" s="171" t="s">
        <v>117</v>
      </c>
      <c r="CV30" s="297">
        <f>IF(CQ30="-","-",IF(CQ30-CR30=0,CS30,CS30/(CQ30-CR30)))</f>
        <v>38.888888888888886</v>
      </c>
      <c r="CW30" s="119" t="s">
        <v>116</v>
      </c>
      <c r="CX30" s="177"/>
      <c r="DO30" s="154"/>
      <c r="EQ30" s="119"/>
      <c r="ER30" s="119"/>
      <c r="ES30" s="119"/>
      <c r="ET30" s="119"/>
      <c r="EU30" s="119"/>
      <c r="EV30" s="119"/>
      <c r="EW30" s="119"/>
      <c r="EX30" s="119"/>
      <c r="EY30" s="119"/>
      <c r="EZ30" s="119"/>
      <c r="FA30" s="119"/>
      <c r="FB30" s="119"/>
      <c r="FC30" s="119"/>
      <c r="FD30" s="119"/>
      <c r="FE30" s="119"/>
    </row>
    <row r="31" spans="2:161" ht="13.5" customHeight="1" x14ac:dyDescent="0.2">
      <c r="B31" s="158" t="s">
        <v>276</v>
      </c>
      <c r="C31" s="159" t="s">
        <v>191</v>
      </c>
      <c r="D31" s="171">
        <f t="shared" si="9"/>
        <v>1</v>
      </c>
      <c r="E31" s="171" t="str">
        <f>IF(COUNT(R31,U31,X31,AA31,AD31,AG31,AJ31,AM31,AP31,AS31,AV31,AY31,BB31,BE31,BH31,BK31,BN31,BQ31,BT31,BW31,CC31,CF31,CI31)=0,"-",COUNT(R31,U31,X31,AA31,AD31,AG31,AJ31,AM31,AP31,AS31,AV31,AY31,BB31,BE31,BH31,BK31,BN31,BQ31,BT31,BW31,CC31,CF31,CB))</f>
        <v>-</v>
      </c>
      <c r="F31" s="171" t="str">
        <f t="shared" si="10"/>
        <v>-</v>
      </c>
      <c r="G31" s="171" t="str">
        <f t="shared" si="11"/>
        <v>-</v>
      </c>
      <c r="H31" s="172" t="str">
        <f t="shared" si="12"/>
        <v>-</v>
      </c>
      <c r="I31" s="171"/>
      <c r="J31" s="173" t="str">
        <f t="shared" si="13"/>
        <v>-</v>
      </c>
      <c r="K31" s="171" t="e">
        <f t="shared" si="14"/>
        <v>#VALUE!</v>
      </c>
      <c r="L31" s="121"/>
      <c r="M31" s="178" t="str">
        <f>IF(E31="-", "0",G31-((E31-F31)*7))</f>
        <v>0</v>
      </c>
      <c r="O31" s="294" t="str">
        <f t="shared" si="16"/>
        <v>-</v>
      </c>
      <c r="P31" s="177">
        <f t="shared" si="17"/>
        <v>0</v>
      </c>
      <c r="Q31" s="121"/>
      <c r="R31" s="299"/>
      <c r="S31" s="300"/>
      <c r="T31" s="266"/>
      <c r="U31" s="299"/>
      <c r="V31" s="300"/>
      <c r="W31" s="266"/>
      <c r="X31" s="299"/>
      <c r="Y31" s="300"/>
      <c r="Z31" s="266"/>
      <c r="AA31" s="299"/>
      <c r="AB31" s="300"/>
      <c r="AC31" s="266"/>
      <c r="AD31" s="299"/>
      <c r="AE31" s="300"/>
      <c r="AF31" s="266"/>
      <c r="AG31" s="299"/>
      <c r="AH31" s="300"/>
      <c r="AI31" s="266"/>
      <c r="AJ31" s="299"/>
      <c r="AK31" s="300"/>
      <c r="AL31" s="266"/>
      <c r="AM31" s="299" t="s">
        <v>192</v>
      </c>
      <c r="AN31" s="300"/>
      <c r="AO31" s="266"/>
      <c r="AP31" s="299"/>
      <c r="AQ31" s="300"/>
      <c r="AR31" s="266"/>
      <c r="AS31" s="299"/>
      <c r="AT31" s="300"/>
      <c r="AU31" s="266"/>
      <c r="AV31" s="299"/>
      <c r="AW31" s="300"/>
      <c r="AX31" s="266"/>
      <c r="AY31" s="299"/>
      <c r="AZ31" s="300"/>
      <c r="BA31" s="266"/>
      <c r="BB31" s="299"/>
      <c r="BC31" s="300"/>
      <c r="BD31" s="266"/>
      <c r="BE31" s="299"/>
      <c r="BF31" s="300"/>
      <c r="BG31" s="266"/>
      <c r="BH31" s="299"/>
      <c r="BI31" s="300"/>
      <c r="BJ31" s="266"/>
      <c r="BK31" s="299"/>
      <c r="BL31" s="300"/>
      <c r="BM31" s="266"/>
      <c r="BN31" s="299"/>
      <c r="BO31" s="300"/>
      <c r="BP31" s="266"/>
      <c r="BQ31" s="299"/>
      <c r="BR31" s="300"/>
      <c r="BS31" s="266"/>
      <c r="BT31" s="299"/>
      <c r="BU31" s="300"/>
      <c r="BV31" s="266"/>
      <c r="BW31" s="299"/>
      <c r="BX31" s="300"/>
      <c r="BY31" s="266"/>
      <c r="BZ31" s="269"/>
      <c r="CA31" s="270"/>
      <c r="CB31" s="268"/>
      <c r="CC31" s="269"/>
      <c r="CD31" s="270"/>
      <c r="CE31" s="270"/>
      <c r="CF31" s="269"/>
      <c r="CG31" s="268"/>
      <c r="CH31" s="268"/>
      <c r="CI31" s="269"/>
      <c r="CJ31" s="268"/>
      <c r="CP31" s="296"/>
      <c r="CQ31" s="296"/>
      <c r="CR31" s="296"/>
      <c r="CS31" s="296"/>
      <c r="CT31" s="172"/>
      <c r="CU31" s="171"/>
      <c r="CV31" s="297"/>
      <c r="CX31" s="177"/>
      <c r="EQ31" s="119"/>
      <c r="ER31" s="119"/>
      <c r="ES31" s="119"/>
      <c r="ET31" s="119"/>
      <c r="EU31" s="119"/>
      <c r="EV31" s="119"/>
      <c r="EW31" s="119"/>
      <c r="EX31" s="119"/>
      <c r="EY31" s="119"/>
      <c r="EZ31" s="119"/>
      <c r="FA31" s="119"/>
      <c r="FB31" s="119"/>
      <c r="FC31" s="119"/>
      <c r="FD31" s="119"/>
      <c r="FE31" s="119"/>
    </row>
    <row r="32" spans="2:161" ht="13.5" customHeight="1" x14ac:dyDescent="0.2">
      <c r="B32" s="158" t="s">
        <v>286</v>
      </c>
      <c r="C32" s="159" t="s">
        <v>285</v>
      </c>
      <c r="D32" s="171">
        <f t="shared" si="9"/>
        <v>1</v>
      </c>
      <c r="E32" s="171" t="str">
        <f>IF(COUNT(R32,U32,X32,AA32,AD32,AG32,AJ32,AM32,AP32,AS32,AV32,AY32,BB32,BE32,BH32,BK32,BN32,BQ32,BT32,BW32,CC32,CF32,CI32)=0,"-",COUNT(R32,U32,X32,AA32,AD32,AG32,AJ32,AM32,AP32,AS32,AV32,AY32,BB32,BE32,BH32,BK32,BN32,BQ32,BT32,BW32,CC32,CF32,CB))</f>
        <v>-</v>
      </c>
      <c r="F32" s="171" t="str">
        <f t="shared" si="10"/>
        <v>-</v>
      </c>
      <c r="G32" s="171" t="str">
        <f t="shared" si="11"/>
        <v>-</v>
      </c>
      <c r="H32" s="172" t="str">
        <f t="shared" si="12"/>
        <v>-</v>
      </c>
      <c r="I32" s="171"/>
      <c r="J32" s="173" t="str">
        <f t="shared" si="13"/>
        <v>-</v>
      </c>
      <c r="K32" s="171" t="e">
        <f t="shared" si="14"/>
        <v>#VALUE!</v>
      </c>
      <c r="L32" s="121"/>
      <c r="M32" s="178" t="str">
        <f>IF(E32="-", "0",G32-((E32-F32)*7))</f>
        <v>0</v>
      </c>
      <c r="O32" s="294" t="str">
        <f t="shared" si="16"/>
        <v>-</v>
      </c>
      <c r="P32" s="177">
        <f t="shared" si="17"/>
        <v>0</v>
      </c>
      <c r="Q32" s="121"/>
      <c r="R32" s="299"/>
      <c r="S32" s="300"/>
      <c r="T32" s="266"/>
      <c r="U32" s="299"/>
      <c r="V32" s="300"/>
      <c r="W32" s="266"/>
      <c r="X32" s="299"/>
      <c r="Y32" s="300"/>
      <c r="Z32" s="266"/>
      <c r="AA32" s="299"/>
      <c r="AB32" s="300"/>
      <c r="AC32" s="266"/>
      <c r="AD32" s="299"/>
      <c r="AE32" s="300"/>
      <c r="AF32" s="266"/>
      <c r="AG32" s="299"/>
      <c r="AH32" s="300"/>
      <c r="AI32" s="266"/>
      <c r="AJ32" s="299"/>
      <c r="AK32" s="300"/>
      <c r="AL32" s="266"/>
      <c r="AM32" s="299"/>
      <c r="AN32" s="300"/>
      <c r="AO32" s="266"/>
      <c r="AP32" s="299"/>
      <c r="AQ32" s="300"/>
      <c r="AR32" s="266"/>
      <c r="AS32" s="299"/>
      <c r="AT32" s="300"/>
      <c r="AU32" s="266"/>
      <c r="AV32" s="299"/>
      <c r="AW32" s="300"/>
      <c r="AX32" s="266"/>
      <c r="AY32" s="299"/>
      <c r="AZ32" s="300"/>
      <c r="BA32" s="266"/>
      <c r="BB32" s="299"/>
      <c r="BC32" s="300"/>
      <c r="BD32" s="266"/>
      <c r="BE32" s="299"/>
      <c r="BF32" s="300"/>
      <c r="BG32" s="266"/>
      <c r="BH32" s="299"/>
      <c r="BI32" s="300"/>
      <c r="BJ32" s="266"/>
      <c r="BK32" s="299" t="s">
        <v>192</v>
      </c>
      <c r="BL32" s="300"/>
      <c r="BM32" s="266"/>
      <c r="BN32" s="299"/>
      <c r="BO32" s="300"/>
      <c r="BP32" s="266"/>
      <c r="BQ32" s="299"/>
      <c r="BR32" s="300"/>
      <c r="BS32" s="266"/>
      <c r="BT32" s="299"/>
      <c r="BU32" s="300"/>
      <c r="BV32" s="266"/>
      <c r="BW32" s="299"/>
      <c r="BX32" s="300"/>
      <c r="BY32" s="266"/>
      <c r="BZ32" s="269"/>
      <c r="CA32" s="270"/>
      <c r="CB32" s="268"/>
      <c r="CC32" s="269"/>
      <c r="CD32" s="270"/>
      <c r="CE32" s="270"/>
      <c r="CF32" s="269"/>
      <c r="CG32" s="268"/>
      <c r="CH32" s="268"/>
      <c r="CI32" s="269"/>
      <c r="CJ32" s="268"/>
      <c r="CP32" s="296"/>
      <c r="CQ32" s="296"/>
      <c r="CR32" s="296"/>
      <c r="CS32" s="296"/>
      <c r="CT32" s="172"/>
      <c r="CU32" s="171"/>
      <c r="CV32" s="297"/>
      <c r="CX32" s="177"/>
      <c r="EQ32" s="119"/>
      <c r="ER32" s="119"/>
      <c r="ES32" s="119"/>
      <c r="ET32" s="119"/>
      <c r="EU32" s="119"/>
      <c r="EV32" s="119"/>
      <c r="EW32" s="119"/>
      <c r="EX32" s="119"/>
      <c r="EY32" s="119"/>
      <c r="EZ32" s="119"/>
      <c r="FA32" s="119"/>
      <c r="FB32" s="119"/>
      <c r="FC32" s="119"/>
      <c r="FD32" s="119"/>
      <c r="FE32" s="119"/>
    </row>
    <row r="33" spans="2:161" ht="13.5" customHeight="1" x14ac:dyDescent="0.2">
      <c r="B33" s="158" t="s">
        <v>269</v>
      </c>
      <c r="C33" s="159" t="s">
        <v>222</v>
      </c>
      <c r="D33" s="171">
        <f t="shared" si="9"/>
        <v>7</v>
      </c>
      <c r="E33" s="171">
        <f>IF(COUNT(R33,U33,X33,AA33,AD33,AG33,AJ33,AM33,AP33,AS33,AV33,AY33,BB33,BE33,BH33,BK33,BN33,BQ33,BT33,BW33,CC33,CF33,CI33)=0,"-",COUNT(R33,U33,X33,AA33,AD33,AG33,AJ33,AM33,AP33,AS33,AV33,AY33,BB33,BE33,BH33,BK33,BN33,BQ33,BT33,BW33,CC33,CF33,CB))</f>
        <v>6</v>
      </c>
      <c r="F33" s="171">
        <f t="shared" si="10"/>
        <v>0</v>
      </c>
      <c r="G33" s="171">
        <f t="shared" si="11"/>
        <v>74</v>
      </c>
      <c r="H33" s="172">
        <f t="shared" si="12"/>
        <v>40</v>
      </c>
      <c r="I33" s="171"/>
      <c r="J33" s="295">
        <f t="shared" si="13"/>
        <v>12.333333333333334</v>
      </c>
      <c r="K33" s="171" t="str">
        <f t="shared" si="14"/>
        <v/>
      </c>
      <c r="L33" s="121"/>
      <c r="M33" s="178">
        <f t="shared" ref="M33:M41" si="18">IF(E33="-", "-",G33-((E33-F33)*7))</f>
        <v>32</v>
      </c>
      <c r="N33" s="144"/>
      <c r="O33" s="294">
        <f t="shared" si="16"/>
        <v>12.333333333333334</v>
      </c>
      <c r="P33" s="177">
        <f t="shared" si="17"/>
        <v>2</v>
      </c>
      <c r="R33" s="299"/>
      <c r="S33" s="300"/>
      <c r="T33" s="264"/>
      <c r="U33" s="299"/>
      <c r="V33" s="300"/>
      <c r="W33" s="264"/>
      <c r="X33" s="299">
        <v>14</v>
      </c>
      <c r="Y33" s="300"/>
      <c r="Z33" s="264"/>
      <c r="AA33" s="299"/>
      <c r="AB33" s="300"/>
      <c r="AC33" s="264"/>
      <c r="AD33" s="299"/>
      <c r="AE33" s="300"/>
      <c r="AF33" s="264"/>
      <c r="AG33" s="299"/>
      <c r="AH33" s="300"/>
      <c r="AI33" s="264"/>
      <c r="AJ33" s="299"/>
      <c r="AK33" s="300"/>
      <c r="AL33" s="264"/>
      <c r="AM33" s="299"/>
      <c r="AN33" s="300"/>
      <c r="AO33" s="264"/>
      <c r="AP33" s="299"/>
      <c r="AQ33" s="300"/>
      <c r="AR33" s="264"/>
      <c r="AS33" s="299">
        <v>5</v>
      </c>
      <c r="AT33" s="300"/>
      <c r="AU33" s="264"/>
      <c r="AV33" s="299"/>
      <c r="AW33" s="300"/>
      <c r="AX33" s="264"/>
      <c r="AY33" s="299"/>
      <c r="AZ33" s="300"/>
      <c r="BA33" s="264"/>
      <c r="BB33" s="299"/>
      <c r="BC33" s="300"/>
      <c r="BD33" s="264"/>
      <c r="BE33" s="299" t="s">
        <v>192</v>
      </c>
      <c r="BF33" s="300"/>
      <c r="BG33" s="264"/>
      <c r="BH33" s="299"/>
      <c r="BI33" s="300"/>
      <c r="BJ33" s="264"/>
      <c r="BK33" s="299">
        <v>4</v>
      </c>
      <c r="BL33" s="300"/>
      <c r="BM33" s="264"/>
      <c r="BN33" s="299">
        <v>11</v>
      </c>
      <c r="BO33" s="300"/>
      <c r="BP33" s="264"/>
      <c r="BQ33" s="299">
        <v>0</v>
      </c>
      <c r="BR33" s="300"/>
      <c r="BS33" s="264"/>
      <c r="BT33" s="299">
        <v>40</v>
      </c>
      <c r="BU33" s="300"/>
      <c r="BV33" s="264"/>
      <c r="BW33" s="299"/>
      <c r="BX33" s="300"/>
      <c r="BY33" s="264"/>
      <c r="BZ33" s="269"/>
      <c r="CA33" s="270"/>
      <c r="CB33" s="268"/>
      <c r="CC33" s="269"/>
      <c r="CD33" s="270"/>
      <c r="CE33" s="270"/>
      <c r="CF33" s="269"/>
      <c r="CG33" s="268"/>
      <c r="CH33" s="268"/>
      <c r="CI33" s="269"/>
      <c r="CJ33" s="268"/>
      <c r="CP33" s="296"/>
      <c r="CQ33" s="296"/>
      <c r="CR33" s="296"/>
      <c r="CS33" s="296"/>
      <c r="CT33" s="172"/>
      <c r="CU33" s="171"/>
      <c r="CV33" s="297"/>
      <c r="CX33" s="177"/>
      <c r="DO33" s="154"/>
      <c r="EQ33" s="119"/>
      <c r="ER33" s="119"/>
      <c r="ES33" s="119"/>
      <c r="ET33" s="119"/>
      <c r="EU33" s="119"/>
      <c r="EV33" s="119"/>
      <c r="EW33" s="119"/>
      <c r="EX33" s="119"/>
      <c r="EY33" s="119"/>
      <c r="EZ33" s="119"/>
      <c r="FA33" s="119"/>
      <c r="FB33" s="119"/>
      <c r="FC33" s="119"/>
      <c r="FD33" s="119"/>
      <c r="FE33" s="119"/>
    </row>
    <row r="34" spans="2:161" ht="13.5" customHeight="1" x14ac:dyDescent="0.2">
      <c r="B34" s="158" t="s">
        <v>277</v>
      </c>
      <c r="C34" s="159" t="s">
        <v>274</v>
      </c>
      <c r="D34" s="171">
        <f t="shared" si="9"/>
        <v>1</v>
      </c>
      <c r="E34" s="171">
        <f>IF(COUNT(R34,U34,X34,AA34,AD34,AG34,AJ34,AM34,AP34,AS34,AV34,AY34,BB34,BE34,BH34,BK34,BN34,BQ34,BT34,BW34,CC34,CF34,CI34)=0,"-",COUNT(R34,U34,X34,AA34,AD34,AG34,AJ34,AM34,AP34,AS34,AV34,AY34,BB34,BE34,BH34,BK34,BN34,BQ34,BT34,BW34,CC34,CF34,CB))</f>
        <v>1</v>
      </c>
      <c r="F34" s="171">
        <f t="shared" si="10"/>
        <v>0</v>
      </c>
      <c r="G34" s="171">
        <f t="shared" si="11"/>
        <v>2</v>
      </c>
      <c r="H34" s="172">
        <f t="shared" si="12"/>
        <v>2</v>
      </c>
      <c r="I34" s="171"/>
      <c r="J34" s="173">
        <f t="shared" si="13"/>
        <v>2</v>
      </c>
      <c r="K34" s="171" t="str">
        <f t="shared" si="14"/>
        <v/>
      </c>
      <c r="L34" s="121"/>
      <c r="M34" s="178">
        <f t="shared" si="18"/>
        <v>-5</v>
      </c>
      <c r="O34" s="294">
        <f t="shared" si="16"/>
        <v>2</v>
      </c>
      <c r="P34" s="177">
        <f t="shared" si="17"/>
        <v>0</v>
      </c>
      <c r="Q34" s="121"/>
      <c r="R34" s="299"/>
      <c r="S34" s="300"/>
      <c r="T34" s="266"/>
      <c r="U34" s="299"/>
      <c r="V34" s="300"/>
      <c r="W34" s="266"/>
      <c r="X34" s="299"/>
      <c r="Y34" s="300"/>
      <c r="Z34" s="266"/>
      <c r="AA34" s="299"/>
      <c r="AB34" s="300"/>
      <c r="AC34" s="266"/>
      <c r="AD34" s="299"/>
      <c r="AE34" s="300"/>
      <c r="AF34" s="266"/>
      <c r="AG34" s="299"/>
      <c r="AH34" s="300"/>
      <c r="AI34" s="266"/>
      <c r="AJ34" s="299"/>
      <c r="AK34" s="300"/>
      <c r="AL34" s="266"/>
      <c r="AM34" s="299">
        <v>2</v>
      </c>
      <c r="AN34" s="300"/>
      <c r="AO34" s="266"/>
      <c r="AP34" s="299"/>
      <c r="AQ34" s="300"/>
      <c r="AR34" s="266"/>
      <c r="AS34" s="299"/>
      <c r="AT34" s="300"/>
      <c r="AU34" s="266"/>
      <c r="AV34" s="299"/>
      <c r="AW34" s="300"/>
      <c r="AX34" s="266"/>
      <c r="AY34" s="299"/>
      <c r="AZ34" s="300"/>
      <c r="BA34" s="266"/>
      <c r="BB34" s="299"/>
      <c r="BC34" s="300"/>
      <c r="BD34" s="266"/>
      <c r="BE34" s="299"/>
      <c r="BF34" s="300"/>
      <c r="BG34" s="266"/>
      <c r="BH34" s="299"/>
      <c r="BI34" s="300"/>
      <c r="BJ34" s="266"/>
      <c r="BK34" s="299"/>
      <c r="BL34" s="300"/>
      <c r="BM34" s="266"/>
      <c r="BN34" s="299"/>
      <c r="BO34" s="300"/>
      <c r="BP34" s="266"/>
      <c r="BQ34" s="299"/>
      <c r="BR34" s="300"/>
      <c r="BS34" s="266"/>
      <c r="BT34" s="299"/>
      <c r="BU34" s="300"/>
      <c r="BV34" s="266"/>
      <c r="BW34" s="299"/>
      <c r="BX34" s="300"/>
      <c r="BY34" s="266"/>
      <c r="BZ34" s="269"/>
      <c r="CA34" s="270"/>
      <c r="CB34" s="268"/>
      <c r="CC34" s="269"/>
      <c r="CD34" s="270"/>
      <c r="CE34" s="270"/>
      <c r="CF34" s="269"/>
      <c r="CG34" s="268"/>
      <c r="CH34" s="268"/>
      <c r="CI34" s="269"/>
      <c r="CJ34" s="268"/>
      <c r="CP34" s="296"/>
      <c r="CQ34" s="296"/>
      <c r="CR34" s="296"/>
      <c r="CS34" s="296"/>
      <c r="CT34" s="172"/>
      <c r="CU34" s="171"/>
      <c r="CV34" s="297"/>
      <c r="CX34" s="177"/>
      <c r="EQ34" s="119"/>
      <c r="ER34" s="119"/>
      <c r="ES34" s="119"/>
      <c r="ET34" s="119"/>
      <c r="EU34" s="119"/>
      <c r="EV34" s="119"/>
      <c r="EW34" s="119"/>
      <c r="EX34" s="119"/>
      <c r="EY34" s="119"/>
      <c r="EZ34" s="119"/>
      <c r="FA34" s="119"/>
      <c r="FB34" s="119"/>
      <c r="FC34" s="119"/>
      <c r="FD34" s="119"/>
      <c r="FE34" s="119"/>
    </row>
    <row r="35" spans="2:161" ht="13.5" customHeight="1" x14ac:dyDescent="0.2">
      <c r="B35" s="158" t="s">
        <v>272</v>
      </c>
      <c r="C35" s="159" t="s">
        <v>190</v>
      </c>
      <c r="D35" s="171">
        <f t="shared" si="9"/>
        <v>2</v>
      </c>
      <c r="E35" s="171">
        <f>IF(COUNT(R35,U35,X35,AA35,AD35,AG35,AJ35,AM35,AP35,AS35,AV35,AY35,BB35,BE35,BH35,BK35,BN35,BQ35,BT35,BW35,CC35,CF35,CI35)=0,"-",COUNT(R35,U35,X35,AA35,AD35,AG35,AJ35,AM35,AP35,AS35,AV35,AY35,BB35,BE35,BH35,BK35,BN35,BQ35,BT35,BW35,CC35,CF35,CB))</f>
        <v>2</v>
      </c>
      <c r="F35" s="171">
        <f t="shared" si="10"/>
        <v>0</v>
      </c>
      <c r="G35" s="171">
        <f t="shared" si="11"/>
        <v>8</v>
      </c>
      <c r="H35" s="172">
        <f t="shared" si="12"/>
        <v>8</v>
      </c>
      <c r="I35" s="171"/>
      <c r="J35" s="173">
        <f t="shared" si="13"/>
        <v>4</v>
      </c>
      <c r="K35" s="171" t="str">
        <f t="shared" si="14"/>
        <v/>
      </c>
      <c r="L35" s="121"/>
      <c r="M35" s="178">
        <f t="shared" si="18"/>
        <v>-6</v>
      </c>
      <c r="O35" s="294">
        <f t="shared" si="16"/>
        <v>4</v>
      </c>
      <c r="P35" s="177">
        <f t="shared" si="17"/>
        <v>0</v>
      </c>
      <c r="Q35" s="121"/>
      <c r="R35" s="299"/>
      <c r="S35" s="300"/>
      <c r="T35" s="266"/>
      <c r="U35" s="299"/>
      <c r="V35" s="300"/>
      <c r="W35" s="266"/>
      <c r="X35" s="299"/>
      <c r="Y35" s="300"/>
      <c r="Z35" s="266"/>
      <c r="AA35" s="299"/>
      <c r="AB35" s="300"/>
      <c r="AC35" s="266"/>
      <c r="AD35" s="299"/>
      <c r="AE35" s="300"/>
      <c r="AF35" s="266"/>
      <c r="AG35" s="299"/>
      <c r="AH35" s="300"/>
      <c r="AI35" s="266"/>
      <c r="AJ35" s="299">
        <v>0</v>
      </c>
      <c r="AK35" s="300"/>
      <c r="AL35" s="266"/>
      <c r="AM35" s="299"/>
      <c r="AN35" s="300"/>
      <c r="AO35" s="266"/>
      <c r="AP35" s="299"/>
      <c r="AQ35" s="300"/>
      <c r="AR35" s="266"/>
      <c r="AS35" s="299"/>
      <c r="AT35" s="300"/>
      <c r="AU35" s="266"/>
      <c r="AV35" s="299">
        <v>8</v>
      </c>
      <c r="AW35" s="300"/>
      <c r="AX35" s="266"/>
      <c r="AY35" s="299"/>
      <c r="AZ35" s="300"/>
      <c r="BA35" s="266"/>
      <c r="BB35" s="299"/>
      <c r="BC35" s="300"/>
      <c r="BD35" s="266"/>
      <c r="BE35" s="299"/>
      <c r="BF35" s="300"/>
      <c r="BG35" s="266"/>
      <c r="BH35" s="299"/>
      <c r="BI35" s="300"/>
      <c r="BJ35" s="266"/>
      <c r="BK35" s="299"/>
      <c r="BL35" s="300"/>
      <c r="BM35" s="266"/>
      <c r="BN35" s="299"/>
      <c r="BO35" s="300"/>
      <c r="BP35" s="266"/>
      <c r="BQ35" s="299"/>
      <c r="BR35" s="300"/>
      <c r="BS35" s="266"/>
      <c r="BT35" s="299"/>
      <c r="BU35" s="300"/>
      <c r="BV35" s="266"/>
      <c r="BW35" s="299"/>
      <c r="BX35" s="300"/>
      <c r="BY35" s="266"/>
      <c r="BZ35" s="269"/>
      <c r="CA35" s="270"/>
      <c r="CB35" s="268"/>
      <c r="CC35" s="269"/>
      <c r="CD35" s="270"/>
      <c r="CE35" s="270"/>
      <c r="CF35" s="269"/>
      <c r="CG35" s="268"/>
      <c r="CH35" s="268"/>
      <c r="CI35" s="269"/>
      <c r="CJ35" s="268"/>
      <c r="CP35" s="296"/>
      <c r="CQ35" s="296"/>
      <c r="CR35" s="296"/>
      <c r="CS35" s="296"/>
      <c r="CT35" s="172"/>
      <c r="CU35" s="171"/>
      <c r="CV35" s="297"/>
      <c r="CX35" s="177"/>
      <c r="EQ35" s="119"/>
      <c r="ER35" s="119"/>
      <c r="ES35" s="119"/>
      <c r="ET35" s="119"/>
      <c r="EU35" s="119"/>
      <c r="EV35" s="119"/>
      <c r="EW35" s="119"/>
      <c r="EX35" s="119"/>
      <c r="EY35" s="119"/>
      <c r="EZ35" s="119"/>
      <c r="FA35" s="119"/>
      <c r="FB35" s="119"/>
      <c r="FC35" s="119"/>
      <c r="FD35" s="119"/>
      <c r="FE35" s="119"/>
    </row>
    <row r="36" spans="2:161" ht="13.5" customHeight="1" x14ac:dyDescent="0.2">
      <c r="B36" s="158" t="s">
        <v>275</v>
      </c>
      <c r="C36" s="159" t="s">
        <v>191</v>
      </c>
      <c r="D36" s="171">
        <f t="shared" si="9"/>
        <v>1</v>
      </c>
      <c r="E36" s="171">
        <f>IF(COUNT(R36,U36,X36,AA36,AD36,AG36,AJ36,AM36,AP36,AS36,AV36,AY36,BB36,BE36,BH36,BK36,BN36,BQ36,BT36,BW36,CC36,CF36,CI36)=0,"-",COUNT(R36,U36,X36,AA36,AD36,AG36,AJ36,AM36,AP36,AS36,AV36,AY36,BB36,BE36,BH36,BK36,BN36,BQ36,BT36,BW36,CC36,CF36,CB))</f>
        <v>1</v>
      </c>
      <c r="F36" s="171">
        <f t="shared" si="10"/>
        <v>0</v>
      </c>
      <c r="G36" s="171">
        <f t="shared" si="11"/>
        <v>0</v>
      </c>
      <c r="H36" s="172">
        <f t="shared" si="12"/>
        <v>0</v>
      </c>
      <c r="I36" s="171"/>
      <c r="J36" s="173">
        <f t="shared" si="13"/>
        <v>0</v>
      </c>
      <c r="K36" s="171" t="str">
        <f t="shared" si="14"/>
        <v/>
      </c>
      <c r="L36" s="121"/>
      <c r="M36" s="178">
        <f t="shared" si="18"/>
        <v>-7</v>
      </c>
      <c r="O36" s="294">
        <f t="shared" si="16"/>
        <v>0</v>
      </c>
      <c r="P36" s="177">
        <f t="shared" si="17"/>
        <v>0</v>
      </c>
      <c r="Q36" s="121"/>
      <c r="R36" s="299"/>
      <c r="S36" s="300"/>
      <c r="T36" s="266"/>
      <c r="U36" s="299"/>
      <c r="V36" s="300"/>
      <c r="W36" s="266"/>
      <c r="X36" s="299"/>
      <c r="Y36" s="300"/>
      <c r="Z36" s="266"/>
      <c r="AA36" s="299"/>
      <c r="AB36" s="300"/>
      <c r="AC36" s="266"/>
      <c r="AD36" s="299"/>
      <c r="AE36" s="300"/>
      <c r="AF36" s="266"/>
      <c r="AG36" s="299"/>
      <c r="AH36" s="300"/>
      <c r="AI36" s="266"/>
      <c r="AJ36" s="299">
        <v>0</v>
      </c>
      <c r="AK36" s="300"/>
      <c r="AL36" s="266"/>
      <c r="AM36" s="299"/>
      <c r="AN36" s="300"/>
      <c r="AO36" s="266"/>
      <c r="AP36" s="299"/>
      <c r="AQ36" s="300"/>
      <c r="AR36" s="266"/>
      <c r="AS36" s="299"/>
      <c r="AT36" s="300"/>
      <c r="AU36" s="266"/>
      <c r="AV36" s="299"/>
      <c r="AW36" s="300"/>
      <c r="AX36" s="266"/>
      <c r="AY36" s="299"/>
      <c r="AZ36" s="300"/>
      <c r="BA36" s="266"/>
      <c r="BB36" s="299"/>
      <c r="BC36" s="300"/>
      <c r="BD36" s="266"/>
      <c r="BE36" s="299"/>
      <c r="BF36" s="300"/>
      <c r="BG36" s="266"/>
      <c r="BH36" s="299"/>
      <c r="BI36" s="300"/>
      <c r="BJ36" s="266"/>
      <c r="BK36" s="299"/>
      <c r="BL36" s="300"/>
      <c r="BM36" s="266"/>
      <c r="BN36" s="299"/>
      <c r="BO36" s="300"/>
      <c r="BP36" s="266"/>
      <c r="BQ36" s="299"/>
      <c r="BR36" s="300"/>
      <c r="BS36" s="266"/>
      <c r="BT36" s="299"/>
      <c r="BU36" s="300"/>
      <c r="BV36" s="266"/>
      <c r="BW36" s="299"/>
      <c r="BX36" s="300"/>
      <c r="BY36" s="266"/>
      <c r="BZ36" s="269"/>
      <c r="CA36" s="270"/>
      <c r="CB36" s="268"/>
      <c r="CC36" s="269"/>
      <c r="CD36" s="270"/>
      <c r="CE36" s="270"/>
      <c r="CF36" s="269"/>
      <c r="CG36" s="268"/>
      <c r="CH36" s="268"/>
      <c r="CI36" s="269"/>
      <c r="CJ36" s="268"/>
      <c r="CP36" s="296"/>
      <c r="CQ36" s="296"/>
      <c r="CR36" s="296"/>
      <c r="CS36" s="296"/>
      <c r="CT36" s="172"/>
      <c r="CU36" s="171"/>
      <c r="CV36" s="297"/>
      <c r="CX36" s="177"/>
      <c r="EQ36" s="119"/>
      <c r="ER36" s="119"/>
      <c r="ES36" s="119"/>
      <c r="ET36" s="119"/>
      <c r="EU36" s="119"/>
      <c r="EV36" s="119"/>
      <c r="EW36" s="119"/>
      <c r="EX36" s="119"/>
      <c r="EY36" s="119"/>
      <c r="EZ36" s="119"/>
      <c r="FA36" s="119"/>
      <c r="FB36" s="119"/>
      <c r="FC36" s="119"/>
      <c r="FD36" s="119"/>
      <c r="FE36" s="119"/>
    </row>
    <row r="37" spans="2:161" ht="13.5" customHeight="1" x14ac:dyDescent="0.2">
      <c r="B37" s="158" t="s">
        <v>270</v>
      </c>
      <c r="C37" s="159" t="s">
        <v>190</v>
      </c>
      <c r="D37" s="171">
        <f t="shared" si="9"/>
        <v>1</v>
      </c>
      <c r="E37" s="171">
        <f>IF(COUNT(R37,U37,X37,AA37,AD37,AG37,AJ37,AM37,AP37,AS37,AV37,AY37,BB37,BE37,BH37,BK37,BN37,BQ37,BT37,BW37,CC37,CF37,CI37)=0,"-",COUNT(R37,U37,X37,AA37,AD37,AG37,AJ37,AM37,AP37,AS37,AV37,AY37,BB37,BE37,BH37,BK37,BN37,BQ37,BT37,BW37,CC37,CF37,CB))</f>
        <v>1</v>
      </c>
      <c r="F37" s="171">
        <f t="shared" si="10"/>
        <v>0</v>
      </c>
      <c r="G37" s="171">
        <f t="shared" si="11"/>
        <v>0</v>
      </c>
      <c r="H37" s="172">
        <f t="shared" si="12"/>
        <v>0</v>
      </c>
      <c r="I37" s="171"/>
      <c r="J37" s="173">
        <f t="shared" si="13"/>
        <v>0</v>
      </c>
      <c r="K37" s="171" t="str">
        <f t="shared" si="14"/>
        <v/>
      </c>
      <c r="L37" s="121"/>
      <c r="M37" s="178">
        <f t="shared" si="18"/>
        <v>-7</v>
      </c>
      <c r="O37" s="294">
        <f t="shared" si="16"/>
        <v>0</v>
      </c>
      <c r="P37" s="177">
        <f t="shared" si="17"/>
        <v>0</v>
      </c>
      <c r="R37" s="299"/>
      <c r="S37" s="300"/>
      <c r="T37" s="264"/>
      <c r="U37" s="299"/>
      <c r="V37" s="300"/>
      <c r="W37" s="264"/>
      <c r="X37" s="299"/>
      <c r="Y37" s="300"/>
      <c r="Z37" s="264"/>
      <c r="AA37" s="299">
        <v>0</v>
      </c>
      <c r="AB37" s="300"/>
      <c r="AC37" s="264"/>
      <c r="AD37" s="299"/>
      <c r="AE37" s="300"/>
      <c r="AF37" s="264"/>
      <c r="AG37" s="299"/>
      <c r="AH37" s="300"/>
      <c r="AI37" s="264"/>
      <c r="AJ37" s="299"/>
      <c r="AK37" s="300"/>
      <c r="AL37" s="264"/>
      <c r="AM37" s="299"/>
      <c r="AN37" s="300"/>
      <c r="AO37" s="264"/>
      <c r="AP37" s="299"/>
      <c r="AQ37" s="300"/>
      <c r="AR37" s="264"/>
      <c r="AS37" s="299"/>
      <c r="AT37" s="300"/>
      <c r="AU37" s="264"/>
      <c r="AV37" s="299"/>
      <c r="AW37" s="300"/>
      <c r="AX37" s="264"/>
      <c r="AY37" s="299"/>
      <c r="AZ37" s="300"/>
      <c r="BA37" s="264"/>
      <c r="BB37" s="299"/>
      <c r="BC37" s="300"/>
      <c r="BD37" s="264"/>
      <c r="BE37" s="299"/>
      <c r="BF37" s="300"/>
      <c r="BG37" s="264"/>
      <c r="BH37" s="299"/>
      <c r="BI37" s="300"/>
      <c r="BJ37" s="264"/>
      <c r="BK37" s="299"/>
      <c r="BL37" s="300"/>
      <c r="BM37" s="264"/>
      <c r="BN37" s="299"/>
      <c r="BO37" s="300"/>
      <c r="BP37" s="264"/>
      <c r="BQ37" s="299"/>
      <c r="BR37" s="300"/>
      <c r="BS37" s="264"/>
      <c r="BT37" s="299"/>
      <c r="BU37" s="300"/>
      <c r="BV37" s="264"/>
      <c r="BW37" s="299"/>
      <c r="BX37" s="300"/>
      <c r="BY37" s="264"/>
      <c r="BZ37" s="269"/>
      <c r="CA37" s="270"/>
      <c r="CB37" s="268"/>
      <c r="CC37" s="269"/>
      <c r="CD37" s="270"/>
      <c r="CE37" s="270"/>
      <c r="CF37" s="269"/>
      <c r="CG37" s="268"/>
      <c r="CH37" s="268"/>
      <c r="CI37" s="269"/>
      <c r="CJ37" s="268"/>
      <c r="CP37" s="296"/>
      <c r="CQ37" s="296"/>
      <c r="CR37" s="296"/>
      <c r="CS37" s="296"/>
      <c r="CT37" s="172"/>
      <c r="CU37" s="171"/>
      <c r="CV37" s="297"/>
      <c r="CX37" s="177"/>
      <c r="DO37" s="154"/>
      <c r="EQ37" s="119"/>
      <c r="ER37" s="119"/>
      <c r="ES37" s="119"/>
      <c r="ET37" s="119"/>
      <c r="EU37" s="119"/>
      <c r="EV37" s="119"/>
      <c r="EW37" s="119"/>
      <c r="EX37" s="119"/>
      <c r="EY37" s="119"/>
      <c r="EZ37" s="119"/>
      <c r="FA37" s="119"/>
      <c r="FB37" s="119"/>
      <c r="FC37" s="119"/>
      <c r="FD37" s="119"/>
      <c r="FE37" s="119"/>
    </row>
    <row r="38" spans="2:161" ht="13.5" customHeight="1" x14ac:dyDescent="0.2">
      <c r="B38" s="158" t="s">
        <v>279</v>
      </c>
      <c r="C38" s="159" t="s">
        <v>280</v>
      </c>
      <c r="D38" s="171">
        <f t="shared" si="9"/>
        <v>1</v>
      </c>
      <c r="E38" s="171">
        <f>IF(COUNT(R38,U38,X38,AA38,AD38,AG38,AJ38,AM38,AP38,AS38,AV38,AY38,BB38,BE38,BH38,BK38,BN38,BQ38,BT38,BW38,CC38,CF38,CI38)=0,"-",COUNT(R38,U38,X38,AA38,AD38,AG38,AJ38,AM38,AP38,AS38,AV38,AY38,BB38,BE38,BH38,BK38,BN38,BQ38,BT38,BW38,CC38,CF38,CB))</f>
        <v>1</v>
      </c>
      <c r="F38" s="171">
        <f t="shared" si="10"/>
        <v>0</v>
      </c>
      <c r="G38" s="171">
        <f t="shared" si="11"/>
        <v>0</v>
      </c>
      <c r="H38" s="172">
        <f t="shared" si="12"/>
        <v>0</v>
      </c>
      <c r="I38" s="171"/>
      <c r="J38" s="173">
        <f t="shared" si="13"/>
        <v>0</v>
      </c>
      <c r="K38" s="171" t="str">
        <f t="shared" si="14"/>
        <v/>
      </c>
      <c r="L38" s="121"/>
      <c r="M38" s="178">
        <f t="shared" si="18"/>
        <v>-7</v>
      </c>
      <c r="O38" s="294">
        <f t="shared" si="16"/>
        <v>0</v>
      </c>
      <c r="P38" s="177">
        <f t="shared" si="17"/>
        <v>0</v>
      </c>
      <c r="Q38" s="121"/>
      <c r="R38" s="299"/>
      <c r="S38" s="300"/>
      <c r="T38" s="266"/>
      <c r="U38" s="299"/>
      <c r="V38" s="300"/>
      <c r="W38" s="266"/>
      <c r="X38" s="299"/>
      <c r="Y38" s="300"/>
      <c r="Z38" s="266"/>
      <c r="AA38" s="299"/>
      <c r="AB38" s="300"/>
      <c r="AC38" s="266"/>
      <c r="AD38" s="299"/>
      <c r="AE38" s="300"/>
      <c r="AF38" s="266"/>
      <c r="AG38" s="299"/>
      <c r="AH38" s="300"/>
      <c r="AI38" s="266"/>
      <c r="AJ38" s="299"/>
      <c r="AK38" s="300"/>
      <c r="AL38" s="266"/>
      <c r="AM38" s="299"/>
      <c r="AN38" s="300"/>
      <c r="AO38" s="266"/>
      <c r="AP38" s="299"/>
      <c r="AQ38" s="300"/>
      <c r="AR38" s="266"/>
      <c r="AS38" s="299">
        <v>0</v>
      </c>
      <c r="AT38" s="300"/>
      <c r="AU38" s="266"/>
      <c r="AV38" s="299"/>
      <c r="AW38" s="300"/>
      <c r="AX38" s="266"/>
      <c r="AY38" s="299"/>
      <c r="AZ38" s="300"/>
      <c r="BA38" s="266"/>
      <c r="BB38" s="299"/>
      <c r="BC38" s="300"/>
      <c r="BD38" s="266"/>
      <c r="BE38" s="299"/>
      <c r="BF38" s="300"/>
      <c r="BG38" s="266"/>
      <c r="BH38" s="299"/>
      <c r="BI38" s="300"/>
      <c r="BJ38" s="266"/>
      <c r="BK38" s="299"/>
      <c r="BL38" s="300"/>
      <c r="BM38" s="266"/>
      <c r="BN38" s="299"/>
      <c r="BO38" s="300"/>
      <c r="BP38" s="266"/>
      <c r="BQ38" s="299"/>
      <c r="BR38" s="300"/>
      <c r="BS38" s="266"/>
      <c r="BT38" s="299"/>
      <c r="BU38" s="300"/>
      <c r="BV38" s="266"/>
      <c r="BW38" s="299"/>
      <c r="BX38" s="300"/>
      <c r="BY38" s="266"/>
      <c r="BZ38" s="269"/>
      <c r="CA38" s="270"/>
      <c r="CB38" s="268"/>
      <c r="CC38" s="269"/>
      <c r="CD38" s="270"/>
      <c r="CE38" s="270"/>
      <c r="CF38" s="269"/>
      <c r="CG38" s="268"/>
      <c r="CH38" s="268"/>
      <c r="CI38" s="269"/>
      <c r="CJ38" s="268"/>
      <c r="CP38" s="296"/>
      <c r="CQ38" s="296"/>
      <c r="CR38" s="296"/>
      <c r="CS38" s="296"/>
      <c r="CT38" s="172"/>
      <c r="CU38" s="171"/>
      <c r="CV38" s="297"/>
      <c r="CX38" s="177"/>
      <c r="EQ38" s="119"/>
      <c r="ER38" s="119"/>
      <c r="ES38" s="119"/>
      <c r="ET38" s="119"/>
      <c r="EU38" s="119"/>
      <c r="EV38" s="119"/>
      <c r="EW38" s="119"/>
      <c r="EX38" s="119"/>
      <c r="EY38" s="119"/>
      <c r="EZ38" s="119"/>
      <c r="FA38" s="119"/>
      <c r="FB38" s="119"/>
      <c r="FC38" s="119"/>
      <c r="FD38" s="119"/>
      <c r="FE38" s="119"/>
    </row>
    <row r="39" spans="2:161" ht="13.5" customHeight="1" x14ac:dyDescent="0.2">
      <c r="B39" s="158" t="s">
        <v>268</v>
      </c>
      <c r="C39" s="159" t="s">
        <v>189</v>
      </c>
      <c r="D39" s="171">
        <f t="shared" si="9"/>
        <v>2</v>
      </c>
      <c r="E39" s="171">
        <f>IF(COUNT(R39,U39,X39,AA39,AD39,AG39,AJ39,AM39,AP39,AS39,AV39,AY39,BB39,BE39,BH39,BK39,BN39,BQ39,BT39,BW39,CC39,CF39,CI39)=0,"-",COUNT(R39,U39,X39,AA39,AD39,AG39,AJ39,AM39,AP39,AS39,AV39,AY39,BB39,BE39,BH39,BK39,BN39,BQ39,BT39,BW39,CC39,CF39,CB))</f>
        <v>2</v>
      </c>
      <c r="F39" s="171">
        <f t="shared" si="10"/>
        <v>0</v>
      </c>
      <c r="G39" s="171">
        <f t="shared" si="11"/>
        <v>6</v>
      </c>
      <c r="H39" s="172">
        <f t="shared" si="12"/>
        <v>4</v>
      </c>
      <c r="I39" s="171"/>
      <c r="J39" s="173">
        <f t="shared" si="13"/>
        <v>3</v>
      </c>
      <c r="K39" s="171" t="str">
        <f t="shared" si="14"/>
        <v/>
      </c>
      <c r="L39" s="121"/>
      <c r="M39" s="178">
        <f t="shared" si="18"/>
        <v>-8</v>
      </c>
      <c r="O39" s="294">
        <f t="shared" si="16"/>
        <v>3</v>
      </c>
      <c r="P39" s="177">
        <f t="shared" si="17"/>
        <v>0</v>
      </c>
      <c r="R39" s="299"/>
      <c r="S39" s="300"/>
      <c r="T39" s="264"/>
      <c r="U39" s="299"/>
      <c r="V39" s="300"/>
      <c r="W39" s="264"/>
      <c r="X39" s="299">
        <v>4</v>
      </c>
      <c r="Y39" s="300"/>
      <c r="Z39" s="264"/>
      <c r="AA39" s="299">
        <v>2</v>
      </c>
      <c r="AB39" s="300"/>
      <c r="AC39" s="264"/>
      <c r="AD39" s="299"/>
      <c r="AE39" s="300"/>
      <c r="AF39" s="264"/>
      <c r="AG39" s="299"/>
      <c r="AH39" s="300"/>
      <c r="AI39" s="264"/>
      <c r="AJ39" s="299"/>
      <c r="AK39" s="300"/>
      <c r="AL39" s="264"/>
      <c r="AM39" s="299"/>
      <c r="AN39" s="300"/>
      <c r="AO39" s="264"/>
      <c r="AP39" s="299"/>
      <c r="AQ39" s="300"/>
      <c r="AR39" s="264"/>
      <c r="AS39" s="299"/>
      <c r="AT39" s="300"/>
      <c r="AU39" s="264"/>
      <c r="AV39" s="299"/>
      <c r="AW39" s="300"/>
      <c r="AX39" s="264"/>
      <c r="AY39" s="299"/>
      <c r="AZ39" s="300"/>
      <c r="BA39" s="264"/>
      <c r="BB39" s="299"/>
      <c r="BC39" s="300"/>
      <c r="BD39" s="264"/>
      <c r="BE39" s="299"/>
      <c r="BF39" s="300"/>
      <c r="BG39" s="264"/>
      <c r="BH39" s="299"/>
      <c r="BI39" s="300"/>
      <c r="BJ39" s="264"/>
      <c r="BK39" s="299"/>
      <c r="BL39" s="300"/>
      <c r="BM39" s="264"/>
      <c r="BN39" s="299"/>
      <c r="BO39" s="300"/>
      <c r="BP39" s="264"/>
      <c r="BQ39" s="299"/>
      <c r="BR39" s="300"/>
      <c r="BS39" s="264"/>
      <c r="BT39" s="299"/>
      <c r="BU39" s="300"/>
      <c r="BV39" s="264"/>
      <c r="BW39" s="299"/>
      <c r="BX39" s="300"/>
      <c r="BY39" s="264"/>
      <c r="BZ39" s="269"/>
      <c r="CA39" s="270"/>
      <c r="CB39" s="268"/>
      <c r="CC39" s="269"/>
      <c r="CD39" s="270"/>
      <c r="CE39" s="270"/>
      <c r="CF39" s="269"/>
      <c r="CG39" s="268"/>
      <c r="CH39" s="268"/>
      <c r="CI39" s="269"/>
      <c r="CJ39" s="268"/>
      <c r="CP39" s="296"/>
      <c r="CQ39" s="296"/>
      <c r="CR39" s="296"/>
      <c r="CS39" s="296"/>
      <c r="CT39" s="172"/>
      <c r="CU39" s="171"/>
      <c r="CV39" s="297"/>
      <c r="CX39" s="177"/>
      <c r="DO39" s="154"/>
      <c r="EQ39" s="119"/>
      <c r="ER39" s="119"/>
      <c r="ES39" s="119"/>
      <c r="ET39" s="119"/>
      <c r="EU39" s="119"/>
      <c r="EV39" s="119"/>
      <c r="EW39" s="119"/>
      <c r="EX39" s="119"/>
      <c r="EY39" s="119"/>
      <c r="EZ39" s="119"/>
      <c r="FA39" s="119"/>
      <c r="FB39" s="119"/>
      <c r="FC39" s="119"/>
      <c r="FD39" s="119"/>
      <c r="FE39" s="119"/>
    </row>
    <row r="40" spans="2:161" ht="13.5" customHeight="1" x14ac:dyDescent="0.2">
      <c r="B40" s="158" t="s">
        <v>220</v>
      </c>
      <c r="C40" s="159" t="s">
        <v>191</v>
      </c>
      <c r="D40" s="171">
        <f t="shared" si="9"/>
        <v>7</v>
      </c>
      <c r="E40" s="171">
        <f>IF(COUNT(R40,U40,X40,AA40,AD40,AG40,AJ40,AM40,AP40,AS40,AV40,AY40,BB40,BE40,BH40,BK40,BN40,BQ40,BT40,BW40,CC40,CF40,CI40)=0,"-",COUNT(R40,U40,X40,AA40,AD40,AG40,AJ40,AM40,AP40,AS40,AV40,AY40,BB40,BE40,BH40,BK40,BN40,BQ40,BT40,BW40,CC40,CF40,CB))</f>
        <v>6</v>
      </c>
      <c r="F40" s="171">
        <f t="shared" si="10"/>
        <v>3</v>
      </c>
      <c r="G40" s="171">
        <f t="shared" si="11"/>
        <v>5</v>
      </c>
      <c r="H40" s="172">
        <f t="shared" si="12"/>
        <v>3</v>
      </c>
      <c r="I40" s="171"/>
      <c r="J40" s="173">
        <f t="shared" si="13"/>
        <v>1.6666666666666667</v>
      </c>
      <c r="K40" s="171" t="str">
        <f t="shared" si="14"/>
        <v/>
      </c>
      <c r="L40" s="121"/>
      <c r="M40" s="178">
        <f t="shared" si="18"/>
        <v>-16</v>
      </c>
      <c r="N40" s="144"/>
      <c r="O40" s="294">
        <f t="shared" si="16"/>
        <v>1.6666666666666667</v>
      </c>
      <c r="P40" s="177">
        <f t="shared" si="17"/>
        <v>0</v>
      </c>
      <c r="R40" s="299"/>
      <c r="S40" s="300"/>
      <c r="T40" s="264"/>
      <c r="U40" s="299"/>
      <c r="V40" s="300"/>
      <c r="W40" s="264"/>
      <c r="X40" s="299"/>
      <c r="Y40" s="300"/>
      <c r="Z40" s="264"/>
      <c r="AA40" s="299">
        <v>0</v>
      </c>
      <c r="AB40" s="300"/>
      <c r="AC40" s="264"/>
      <c r="AD40" s="299" t="s">
        <v>192</v>
      </c>
      <c r="AE40" s="300"/>
      <c r="AF40" s="264"/>
      <c r="AG40" s="299"/>
      <c r="AH40" s="300"/>
      <c r="AI40" s="264"/>
      <c r="AJ40" s="299">
        <v>0</v>
      </c>
      <c r="AK40" s="300" t="s">
        <v>117</v>
      </c>
      <c r="AL40" s="264"/>
      <c r="AM40" s="299">
        <v>3</v>
      </c>
      <c r="AN40" s="300" t="s">
        <v>117</v>
      </c>
      <c r="AO40" s="264"/>
      <c r="AP40" s="299">
        <v>0</v>
      </c>
      <c r="AQ40" s="300"/>
      <c r="AR40" s="264"/>
      <c r="AS40" s="299">
        <v>1</v>
      </c>
      <c r="AT40" s="300" t="s">
        <v>117</v>
      </c>
      <c r="AU40" s="264"/>
      <c r="AV40" s="299"/>
      <c r="AW40" s="300"/>
      <c r="AX40" s="264"/>
      <c r="AY40" s="299">
        <v>1</v>
      </c>
      <c r="AZ40" s="300"/>
      <c r="BA40" s="264"/>
      <c r="BB40" s="299"/>
      <c r="BC40" s="300"/>
      <c r="BD40" s="264"/>
      <c r="BE40" s="299"/>
      <c r="BF40" s="300"/>
      <c r="BG40" s="264"/>
      <c r="BH40" s="299"/>
      <c r="BI40" s="300"/>
      <c r="BJ40" s="264"/>
      <c r="BK40" s="299"/>
      <c r="BL40" s="300"/>
      <c r="BM40" s="264"/>
      <c r="BN40" s="299"/>
      <c r="BO40" s="300"/>
      <c r="BP40" s="264"/>
      <c r="BQ40" s="299"/>
      <c r="BR40" s="300"/>
      <c r="BS40" s="264"/>
      <c r="BT40" s="299"/>
      <c r="BU40" s="300"/>
      <c r="BV40" s="264"/>
      <c r="BW40" s="299"/>
      <c r="BX40" s="300"/>
      <c r="BY40" s="264"/>
      <c r="BZ40" s="269"/>
      <c r="CA40" s="270"/>
      <c r="CB40" s="268"/>
      <c r="CC40" s="269"/>
      <c r="CD40" s="270"/>
      <c r="CE40" s="270"/>
      <c r="CF40" s="269"/>
      <c r="CG40" s="268"/>
      <c r="CH40" s="268"/>
      <c r="CI40" s="269"/>
      <c r="CJ40" s="268"/>
      <c r="CP40" s="296"/>
      <c r="CQ40" s="296"/>
      <c r="CR40" s="296"/>
      <c r="CS40" s="296"/>
      <c r="CT40" s="172"/>
      <c r="CU40" s="171"/>
      <c r="CV40" s="297"/>
      <c r="CX40" s="177"/>
      <c r="DO40" s="154"/>
      <c r="EQ40" s="119"/>
      <c r="ER40" s="119"/>
      <c r="ES40" s="119"/>
      <c r="ET40" s="119"/>
      <c r="EU40" s="119"/>
      <c r="EV40" s="119"/>
      <c r="EW40" s="119"/>
      <c r="EX40" s="119"/>
      <c r="EY40" s="119"/>
      <c r="EZ40" s="119"/>
      <c r="FA40" s="119"/>
      <c r="FB40" s="119"/>
      <c r="FC40" s="119"/>
      <c r="FD40" s="119"/>
      <c r="FE40" s="119"/>
    </row>
    <row r="41" spans="2:161" x14ac:dyDescent="0.2">
      <c r="B41" s="158" t="s">
        <v>55</v>
      </c>
      <c r="C41" s="159" t="s">
        <v>191</v>
      </c>
      <c r="D41" s="171">
        <f t="shared" si="9"/>
        <v>10</v>
      </c>
      <c r="E41" s="171">
        <f>IF(COUNT(R41,U41,X41,AA41,AD41,AG41,AJ41,AM41,AP41,AS41,AV41,AY41,BB41,BE41,BH41,BK41,BN41,BQ41,BT41,BW41,CC41,CF41,CI41)=0,"-",COUNT(R41,U41,X41,AA41,AD41,AG41,AJ41,AM41,AP41,AS41,AV41,AY41,BB41,BE41,BH41,BK41,BN41,BQ41,BT41,BW41,CC41,CF41,CB))</f>
        <v>10</v>
      </c>
      <c r="F41" s="171">
        <f t="shared" si="10"/>
        <v>0</v>
      </c>
      <c r="G41" s="171">
        <f t="shared" si="11"/>
        <v>44</v>
      </c>
      <c r="H41" s="172">
        <f t="shared" si="12"/>
        <v>8</v>
      </c>
      <c r="I41" s="171"/>
      <c r="J41" s="295">
        <f t="shared" si="13"/>
        <v>4.4000000000000004</v>
      </c>
      <c r="K41" s="171" t="str">
        <f t="shared" si="14"/>
        <v/>
      </c>
      <c r="L41" s="121"/>
      <c r="M41" s="178">
        <f t="shared" si="18"/>
        <v>-26</v>
      </c>
      <c r="O41" s="294">
        <f t="shared" si="16"/>
        <v>8.0738255033557049</v>
      </c>
      <c r="P41" s="177">
        <f t="shared" si="17"/>
        <v>1</v>
      </c>
      <c r="Q41" s="121"/>
      <c r="R41" s="299"/>
      <c r="S41" s="300"/>
      <c r="T41" s="266"/>
      <c r="U41" s="299"/>
      <c r="V41" s="300"/>
      <c r="W41" s="266"/>
      <c r="X41" s="299"/>
      <c r="Y41" s="300"/>
      <c r="Z41" s="266"/>
      <c r="AA41" s="299"/>
      <c r="AB41" s="300"/>
      <c r="AC41" s="266"/>
      <c r="AD41" s="299">
        <v>7</v>
      </c>
      <c r="AE41" s="300"/>
      <c r="AF41" s="266"/>
      <c r="AG41" s="299"/>
      <c r="AH41" s="300"/>
      <c r="AI41" s="266"/>
      <c r="AJ41" s="299">
        <v>8</v>
      </c>
      <c r="AK41" s="300"/>
      <c r="AL41" s="266"/>
      <c r="AM41" s="299"/>
      <c r="AN41" s="300"/>
      <c r="AO41" s="266"/>
      <c r="AP41" s="299">
        <v>8</v>
      </c>
      <c r="AQ41" s="300"/>
      <c r="AR41" s="266"/>
      <c r="AS41" s="299">
        <v>0</v>
      </c>
      <c r="AT41" s="300"/>
      <c r="AU41" s="266"/>
      <c r="AV41" s="299">
        <v>0</v>
      </c>
      <c r="AW41" s="300"/>
      <c r="AX41" s="266"/>
      <c r="AY41" s="299">
        <v>7</v>
      </c>
      <c r="AZ41" s="300"/>
      <c r="BA41" s="266"/>
      <c r="BB41" s="299"/>
      <c r="BC41" s="300"/>
      <c r="BD41" s="266"/>
      <c r="BE41" s="299"/>
      <c r="BF41" s="300"/>
      <c r="BG41" s="266"/>
      <c r="BH41" s="299"/>
      <c r="BI41" s="300"/>
      <c r="BJ41" s="266"/>
      <c r="BK41" s="299">
        <v>6</v>
      </c>
      <c r="BL41" s="300"/>
      <c r="BM41" s="266"/>
      <c r="BN41" s="299">
        <v>7</v>
      </c>
      <c r="BO41" s="300"/>
      <c r="BP41" s="266"/>
      <c r="BQ41" s="299">
        <v>1</v>
      </c>
      <c r="BR41" s="300"/>
      <c r="BS41" s="266"/>
      <c r="BT41" s="299">
        <v>0</v>
      </c>
      <c r="BU41" s="300"/>
      <c r="BV41" s="266"/>
      <c r="BW41" s="299"/>
      <c r="BX41" s="300"/>
      <c r="BY41" s="266"/>
      <c r="BZ41" s="269"/>
      <c r="CA41" s="269"/>
      <c r="CB41" s="269"/>
      <c r="CC41" s="269"/>
      <c r="CD41" s="269"/>
      <c r="CE41" s="269"/>
      <c r="CF41" s="269"/>
      <c r="CG41" s="268"/>
      <c r="CH41" s="268"/>
      <c r="CI41" s="269"/>
      <c r="CJ41" s="268"/>
      <c r="CP41" s="296">
        <v>180</v>
      </c>
      <c r="CQ41" s="296">
        <v>170</v>
      </c>
      <c r="CR41" s="296">
        <v>31</v>
      </c>
      <c r="CS41" s="296">
        <v>1159</v>
      </c>
      <c r="CT41" s="172">
        <v>73</v>
      </c>
      <c r="CU41" s="171" t="s">
        <v>117</v>
      </c>
      <c r="CV41" s="297">
        <f>IF(CQ41="-","-",IF(CQ41-CR41=0,CS41,CS41/(CQ41-CR41)))</f>
        <v>8.3381294964028783</v>
      </c>
      <c r="CX41" s="177"/>
      <c r="EQ41" s="119"/>
      <c r="ER41" s="119"/>
      <c r="ES41" s="119"/>
      <c r="ET41" s="119"/>
      <c r="EU41" s="119"/>
      <c r="EV41" s="119"/>
      <c r="EW41" s="119"/>
      <c r="EX41" s="119"/>
      <c r="EY41" s="119"/>
      <c r="EZ41" s="119"/>
      <c r="FA41" s="119"/>
      <c r="FB41" s="119"/>
      <c r="FC41" s="119"/>
      <c r="FD41" s="119"/>
      <c r="FE41" s="119"/>
    </row>
    <row r="42" spans="2:161" ht="13.5" customHeight="1" x14ac:dyDescent="0.2">
      <c r="B42" s="272"/>
      <c r="C42" s="272"/>
      <c r="D42" s="273"/>
      <c r="E42" s="273"/>
      <c r="F42" s="273"/>
      <c r="G42" s="273"/>
      <c r="H42" s="273"/>
      <c r="I42" s="273"/>
      <c r="J42" s="273"/>
      <c r="K42" s="273"/>
      <c r="L42" s="124"/>
      <c r="M42" s="272">
        <f>SUM(M6:M41)</f>
        <v>1685</v>
      </c>
      <c r="N42" s="274"/>
      <c r="O42" s="275"/>
      <c r="P42" s="275"/>
      <c r="R42" s="275">
        <f>COUNTA(R6:R41)</f>
        <v>0</v>
      </c>
      <c r="S42" s="276"/>
      <c r="U42" s="275">
        <f>COUNTA(U6:U41)</f>
        <v>0</v>
      </c>
      <c r="V42" s="276"/>
      <c r="X42" s="275">
        <f>COUNTA(X6:X41)</f>
        <v>11</v>
      </c>
      <c r="Y42" s="276"/>
      <c r="AA42" s="275">
        <f>COUNTA(AA6:AA41)</f>
        <v>11</v>
      </c>
      <c r="AB42" s="276"/>
      <c r="AD42" s="275">
        <f>COUNTA(AD6:AD41)</f>
        <v>11</v>
      </c>
      <c r="AE42" s="276"/>
      <c r="AG42" s="275">
        <f>COUNTA(AG6:AG41)</f>
        <v>0</v>
      </c>
      <c r="AH42" s="276"/>
      <c r="AJ42" s="275">
        <f>COUNTA(AJ6:AJ41)</f>
        <v>11</v>
      </c>
      <c r="AK42" s="276"/>
      <c r="AM42" s="275">
        <f>COUNTA(AM6:AM41)</f>
        <v>11</v>
      </c>
      <c r="AN42" s="276"/>
      <c r="AP42" s="275">
        <f>COUNTA(AP6:AP41)</f>
        <v>11</v>
      </c>
      <c r="AQ42" s="276"/>
      <c r="AS42" s="275">
        <f>COUNTA(AS6:AS41)</f>
        <v>11</v>
      </c>
      <c r="AT42" s="276"/>
      <c r="AV42" s="275">
        <f>COUNTA(AV6:AV41)</f>
        <v>11</v>
      </c>
      <c r="AW42" s="276"/>
      <c r="AY42" s="275">
        <f>COUNTA(AY6:AY41)</f>
        <v>11</v>
      </c>
      <c r="AZ42" s="276"/>
      <c r="BB42" s="275">
        <f>COUNTA(BB6:BB41)</f>
        <v>0</v>
      </c>
      <c r="BC42" s="276"/>
      <c r="BE42" s="275">
        <f>COUNTA(BE6:BE41)</f>
        <v>11</v>
      </c>
      <c r="BF42" s="276"/>
      <c r="BH42" s="275">
        <f>COUNTA(BH6:BH41)</f>
        <v>0</v>
      </c>
      <c r="BI42" s="276"/>
      <c r="BK42" s="275">
        <f>COUNTA(BK6:BK41)</f>
        <v>11</v>
      </c>
      <c r="BL42" s="276"/>
      <c r="BN42" s="275">
        <f>COUNTA(BN6:BN41)</f>
        <v>11</v>
      </c>
      <c r="BO42" s="276"/>
      <c r="BQ42" s="275">
        <f>COUNTA(BQ6:BQ41)</f>
        <v>10</v>
      </c>
      <c r="BR42" s="276"/>
      <c r="BT42" s="275">
        <f>COUNTA(BT6:BT41)</f>
        <v>10</v>
      </c>
      <c r="BU42" s="276"/>
      <c r="BW42" s="275">
        <f>COUNTA(BW6:BW41)</f>
        <v>0</v>
      </c>
      <c r="BX42" s="276"/>
      <c r="BZ42" s="239"/>
      <c r="CA42" s="239"/>
      <c r="CB42" s="239"/>
      <c r="CC42" s="239"/>
      <c r="CD42" s="239"/>
      <c r="CP42" s="275"/>
      <c r="CQ42" s="275"/>
      <c r="CR42" s="275"/>
      <c r="CS42" s="275"/>
      <c r="CT42" s="275"/>
      <c r="CU42" s="275"/>
      <c r="CV42" s="275"/>
      <c r="CX42" s="275"/>
      <c r="EQ42" s="119"/>
      <c r="ER42" s="119"/>
      <c r="ES42" s="119"/>
      <c r="ET42" s="119"/>
      <c r="EU42" s="119"/>
      <c r="EV42" s="119"/>
      <c r="EW42" s="119"/>
      <c r="EX42" s="119"/>
      <c r="EY42" s="119"/>
      <c r="EZ42" s="119"/>
      <c r="FA42" s="119"/>
      <c r="FB42" s="119"/>
    </row>
    <row r="43" spans="2:161" ht="13.5" customHeight="1" x14ac:dyDescent="0.2">
      <c r="B43" s="278"/>
      <c r="C43" s="278"/>
      <c r="D43" s="124"/>
      <c r="E43" s="124"/>
      <c r="F43" s="124"/>
      <c r="G43" s="124"/>
      <c r="H43" s="124"/>
      <c r="I43" s="124"/>
      <c r="J43" s="124"/>
      <c r="K43" s="124"/>
      <c r="L43" s="124"/>
      <c r="M43" s="278"/>
      <c r="N43" s="274"/>
      <c r="O43" s="239"/>
      <c r="P43" s="239"/>
      <c r="R43" s="239"/>
      <c r="S43" s="277"/>
      <c r="U43" s="239"/>
      <c r="V43" s="277"/>
      <c r="X43" s="239"/>
      <c r="Y43" s="277"/>
      <c r="AA43" s="239"/>
      <c r="AB43" s="277"/>
      <c r="AD43" s="239"/>
      <c r="AE43" s="277"/>
      <c r="AG43" s="239"/>
      <c r="AH43" s="277"/>
      <c r="AJ43" s="239"/>
      <c r="AK43" s="277"/>
      <c r="AM43" s="239"/>
      <c r="AN43" s="277"/>
      <c r="AP43" s="239"/>
      <c r="AQ43" s="277"/>
      <c r="AS43" s="239"/>
      <c r="AT43" s="277"/>
      <c r="AV43" s="239"/>
      <c r="AW43" s="277"/>
      <c r="AY43" s="239"/>
      <c r="AZ43" s="277"/>
      <c r="BB43" s="239"/>
      <c r="BC43" s="277"/>
      <c r="BE43" s="239"/>
      <c r="BF43" s="277"/>
      <c r="BH43" s="239"/>
      <c r="BI43" s="277"/>
      <c r="BK43" s="239"/>
      <c r="BL43" s="277"/>
      <c r="BN43" s="239"/>
      <c r="BO43" s="277"/>
      <c r="BQ43" s="239"/>
      <c r="BR43" s="277"/>
      <c r="BT43" s="239"/>
      <c r="BU43" s="277"/>
      <c r="BW43" s="239"/>
      <c r="BX43" s="277"/>
      <c r="BZ43" s="239"/>
      <c r="CA43" s="239"/>
      <c r="CB43" s="239"/>
      <c r="CC43" s="239"/>
      <c r="CD43" s="239"/>
      <c r="CP43" s="239"/>
      <c r="CQ43" s="239"/>
      <c r="CR43" s="239"/>
      <c r="CS43" s="239"/>
      <c r="CT43" s="239"/>
      <c r="CU43" s="239"/>
      <c r="CV43" s="239"/>
      <c r="CX43" s="239"/>
      <c r="EQ43" s="119"/>
      <c r="ER43" s="119"/>
      <c r="ES43" s="119"/>
      <c r="ET43" s="119"/>
      <c r="EU43" s="119"/>
      <c r="EV43" s="119"/>
      <c r="EW43" s="119"/>
      <c r="EX43" s="119"/>
      <c r="EY43" s="119"/>
      <c r="EZ43" s="119"/>
      <c r="FA43" s="119"/>
      <c r="FB43" s="119"/>
    </row>
    <row r="44" spans="2:161" ht="13.5" customHeight="1" x14ac:dyDescent="0.2">
      <c r="B44" s="158" t="str">
        <f>B6</f>
        <v>HOAR, Carl</v>
      </c>
      <c r="C44" s="124"/>
      <c r="D44" s="124"/>
      <c r="E44" s="124"/>
      <c r="F44" s="124"/>
      <c r="G44" s="124"/>
      <c r="H44" s="124"/>
      <c r="I44" s="124"/>
      <c r="J44" s="278">
        <f>M6-M44</f>
        <v>0</v>
      </c>
      <c r="K44" s="124"/>
      <c r="L44" s="124"/>
      <c r="M44" s="278">
        <f>SUM(R44:CA44)</f>
        <v>621</v>
      </c>
      <c r="N44" s="274"/>
      <c r="O44" s="239"/>
      <c r="P44" s="239"/>
      <c r="R44" s="239">
        <f>IF(AND(R6&gt;=0,S6="*"),R6,IF(R6="dnb",0,IF(AND(R6&lt;&gt;"",S6=""),R6-7,0)))</f>
        <v>0</v>
      </c>
      <c r="S44" s="277"/>
      <c r="U44" s="239">
        <f>IF(AND(U6&gt;=0,V6="*"),U6,IF(U6="dnb",0,IF(AND(U6&lt;&gt;"",V6=""),U6-7,0)))</f>
        <v>0</v>
      </c>
      <c r="V44" s="277"/>
      <c r="X44" s="239">
        <f>IF(AND(X6&gt;=0,Y6="*"),X6,IF(X6="dnb",0,IF(AND(X6&lt;&gt;"",Y6=""),X6-7,0)))</f>
        <v>2</v>
      </c>
      <c r="Y44" s="277"/>
      <c r="AA44" s="239">
        <f>IF(AND(AA6&gt;=0,AB6="*"),AA6,IF(AA6="dnb",0,IF(AND(AA6&lt;&gt;"",AB6=""),AA6-7,0)))</f>
        <v>33</v>
      </c>
      <c r="AB44" s="277"/>
      <c r="AD44" s="239">
        <f>IF(AND(AD6&gt;=0,AE6="*"),AD6,IF(AD6="dnb",0,IF(AND(AD6&lt;&gt;"",AE6=""),AD6-7,0)))</f>
        <v>104</v>
      </c>
      <c r="AE44" s="277"/>
      <c r="AG44" s="239">
        <f>IF(AND(AG6&gt;=0,AH6="*"),AG6,IF(AG6="dnb",0,IF(AND(AG6&lt;&gt;"",AH6=""),AG6-7,0)))</f>
        <v>0</v>
      </c>
      <c r="AH44" s="277"/>
      <c r="AJ44" s="239">
        <f>IF(AND(AJ6&gt;=0,AK6="*"),AJ6,IF(AJ6="dnb",0,IF(AND(AJ6&lt;&gt;"",AK6=""),AJ6-7,0)))</f>
        <v>-7</v>
      </c>
      <c r="AK44" s="277"/>
      <c r="AM44" s="239">
        <f>IF(AND(AM6&gt;=0,AN6="*"),AM6,IF(AM6="dnb",0,IF(AND(AM6&lt;&gt;"",AN6=""),AM6-7,0)))</f>
        <v>19</v>
      </c>
      <c r="AN44" s="277"/>
      <c r="AP44" s="239">
        <f>IF(AND(AP6&gt;=0,AQ6="*"),AP6,IF(AP6="dnb",0,IF(AND(AP6&lt;&gt;"",AQ6=""),AP6-7,0)))</f>
        <v>89</v>
      </c>
      <c r="AQ44" s="277"/>
      <c r="AS44" s="239">
        <f>IF(AND(AS6&gt;=0,AT6="*"),AS6,IF(AS6="dnb",0,IF(AND(AS6&lt;&gt;"",AT6=""),AS6-7,0)))</f>
        <v>125</v>
      </c>
      <c r="AT44" s="277"/>
      <c r="AV44" s="239">
        <f>IF(AND(AV6&gt;=0,AW6="*"),AV6,IF(AV6="dnb",0,IF(AND(AV6&lt;&gt;"",AW6=""),AV6-7,0)))</f>
        <v>-2</v>
      </c>
      <c r="AW44" s="277"/>
      <c r="AY44" s="239">
        <f>IF(AND(AY6&gt;=0,AZ6="*"),AY6,IF(AY6="dnb",0,IF(AND(AY6&lt;&gt;"",AZ6=""),AY6-7,0)))</f>
        <v>75</v>
      </c>
      <c r="AZ44" s="277"/>
      <c r="BB44" s="239">
        <f>IF(AND(BB6&gt;=0,BC6="*"),BB6,IF(BB6="dnb",0,IF(AND(BB6&lt;&gt;"",BC6=""),BB6-7,0)))</f>
        <v>0</v>
      </c>
      <c r="BC44" s="277"/>
      <c r="BE44" s="239">
        <f>IF(AND(BE6&gt;=0,BF6="*"),BE6,IF(BE6="dnb",0,IF(AND(BE6&lt;&gt;"",BF6=""),BE6-7,0)))</f>
        <v>68</v>
      </c>
      <c r="BF44" s="277"/>
      <c r="BH44" s="239">
        <f>IF(AND(BH6&gt;=0,BI6="*"),BH6,IF(BH6="dnb",0,IF(AND(BH6&lt;&gt;"",BI6=""),BH6-7,0)))</f>
        <v>0</v>
      </c>
      <c r="BI44" s="277"/>
      <c r="BK44" s="239">
        <f>IF(AND(BK6&gt;=0,BL6="*"),BK6,IF(BK6="dnb",0,IF(AND(BK6&lt;&gt;"",BL6=""),BK6-7,0)))</f>
        <v>52</v>
      </c>
      <c r="BL44" s="277"/>
      <c r="BN44" s="239">
        <f>IF(AND(BN6&gt;=0,BO6="*"),BN6,IF(BN6="dnb",0,IF(AND(BN6&lt;&gt;"",BO6=""),BN6-7,0)))</f>
        <v>-7</v>
      </c>
      <c r="BO44" s="277"/>
      <c r="BQ44" s="239">
        <f>IF(AND(BQ6&gt;=0,BR6="*"),BQ6,IF(BQ6="dnb",0,IF(AND(BQ6&lt;&gt;"",BR6=""),BQ6-7,0)))</f>
        <v>69</v>
      </c>
      <c r="BR44" s="277"/>
      <c r="BT44" s="239">
        <f>IF(AND(BT6&gt;=0,BU6="*"),BT6,IF(BT6="dnb",0,IF(AND(BT6&lt;&gt;"",BU6=""),BT6-7,0)))</f>
        <v>1</v>
      </c>
      <c r="BU44" s="277"/>
      <c r="BW44" s="239">
        <f>IF(AND(BW6&gt;=0,BX6="*"),BW6,IF(BW6="dnb",0,IF(AND(BW6&lt;&gt;"",BX6=""),BW6-7,0)))</f>
        <v>0</v>
      </c>
      <c r="BX44" s="277"/>
      <c r="BZ44" s="239"/>
      <c r="CA44" s="239"/>
      <c r="CB44" s="239"/>
      <c r="CC44" s="239"/>
      <c r="CD44" s="239"/>
      <c r="CP44" s="239"/>
      <c r="CQ44" s="239"/>
      <c r="CR44" s="239"/>
      <c r="CS44" s="239"/>
      <c r="CT44" s="239"/>
      <c r="CU44" s="239"/>
      <c r="CV44" s="239"/>
      <c r="CX44" s="239"/>
      <c r="EQ44" s="119"/>
      <c r="ER44" s="119"/>
      <c r="ES44" s="119"/>
      <c r="ET44" s="119"/>
      <c r="EU44" s="119"/>
      <c r="EV44" s="119"/>
      <c r="EW44" s="119"/>
      <c r="EX44" s="119"/>
      <c r="EY44" s="119"/>
      <c r="EZ44" s="119"/>
      <c r="FA44" s="119"/>
      <c r="FB44" s="119"/>
    </row>
    <row r="45" spans="2:161" ht="13.5" customHeight="1" x14ac:dyDescent="0.2">
      <c r="B45" s="158" t="str">
        <f>B7</f>
        <v>STYLES, Ryan</v>
      </c>
      <c r="C45" s="124"/>
      <c r="D45" s="124"/>
      <c r="E45" s="124"/>
      <c r="F45" s="124"/>
      <c r="G45" s="124"/>
      <c r="H45" s="124"/>
      <c r="I45" s="124"/>
      <c r="J45" s="278">
        <f>M7-M45</f>
        <v>0</v>
      </c>
      <c r="K45" s="124"/>
      <c r="L45" s="124"/>
      <c r="M45" s="278">
        <f t="shared" ref="M45:M75" si="19">SUM(R45:CA45)</f>
        <v>362</v>
      </c>
      <c r="N45" s="274"/>
      <c r="O45" s="239"/>
      <c r="P45" s="239"/>
      <c r="R45" s="239">
        <f>IF(AND(R7&gt;=0,S7="*"),R7,IF(R7="dnb",0,IF(AND(R7&lt;&gt;"",S7=""),R7-7,0)))</f>
        <v>0</v>
      </c>
      <c r="S45" s="277"/>
      <c r="U45" s="239">
        <f>IF(AND(U7&gt;=0,V7="*"),U7,IF(U7="dnb",0,IF(AND(U7&lt;&gt;"",V7=""),U7-7,0)))</f>
        <v>0</v>
      </c>
      <c r="V45" s="277"/>
      <c r="X45" s="239">
        <f>IF(AND(X7&gt;=0,Y7="*"),X7,IF(X7="dnb",0,IF(AND(X7&lt;&gt;"",Y7=""),X7-7,0)))</f>
        <v>59</v>
      </c>
      <c r="Y45" s="277"/>
      <c r="AA45" s="239">
        <f>IF(AND(AA7&gt;=0,AB7="*"),AA7,IF(AA7="dnb",0,IF(AND(AA7&lt;&gt;"",AB7=""),AA7-7,0)))</f>
        <v>35</v>
      </c>
      <c r="AB45" s="277"/>
      <c r="AD45" s="239">
        <f>IF(AND(AD7&gt;=0,AE7="*"),AD7,IF(AD7="dnb",0,IF(AND(AD7&lt;&gt;"",AE7=""),AD7-7,0)))</f>
        <v>43</v>
      </c>
      <c r="AE45" s="277"/>
      <c r="AG45" s="239">
        <f>IF(AND(AG7&gt;=0,AH7="*"),AG7,IF(AG7="dnb",0,IF(AND(AG7&lt;&gt;"",AH7=""),AG7-7,0)))</f>
        <v>0</v>
      </c>
      <c r="AH45" s="277"/>
      <c r="AJ45" s="239">
        <f>IF(AND(AJ7&gt;=0,AK7="*"),AJ7,IF(AJ7="dnb",0,IF(AND(AJ7&lt;&gt;"",AK7=""),AJ7-7,0)))</f>
        <v>19</v>
      </c>
      <c r="AK45" s="277"/>
      <c r="AM45" s="239">
        <f>IF(AND(AM7&gt;=0,AN7="*"),AM7,IF(AM7="dnb",0,IF(AND(AM7&lt;&gt;"",AN7=""),AM7-7,0)))</f>
        <v>0</v>
      </c>
      <c r="AN45" s="277"/>
      <c r="AP45" s="239">
        <f>IF(AND(AP7&gt;=0,AQ7="*"),AP7,IF(AP7="dnb",0,IF(AND(AP7&lt;&gt;"",AQ7=""),AP7-7,0)))</f>
        <v>0</v>
      </c>
      <c r="AQ45" s="277"/>
      <c r="AS45" s="239">
        <f>IF(AND(AS7&gt;=0,AT7="*"),AS7,IF(AS7="dnb",0,IF(AND(AS7&lt;&gt;"",AT7=""),AS7-7,0)))</f>
        <v>0</v>
      </c>
      <c r="AT45" s="277"/>
      <c r="AV45" s="239">
        <f>IF(AND(AV7&gt;=0,AW7="*"),AV7,IF(AV7="dnb",0,IF(AND(AV7&lt;&gt;"",AW7=""),AV7-7,0)))</f>
        <v>12</v>
      </c>
      <c r="AW45" s="277"/>
      <c r="AY45" s="239">
        <f>IF(AND(AY7&gt;=0,AZ7="*"),AY7,IF(AY7="dnb",0,IF(AND(AY7&lt;&gt;"",AZ7=""),AY7-7,0)))</f>
        <v>2</v>
      </c>
      <c r="AZ45" s="277"/>
      <c r="BB45" s="239">
        <f>IF(AND(BB7&gt;=0,BC7="*"),BB7,IF(BB7="dnb",0,IF(AND(BB7&lt;&gt;"",BC7=""),BB7-7,0)))</f>
        <v>0</v>
      </c>
      <c r="BC45" s="277"/>
      <c r="BE45" s="239">
        <f>IF(AND(BE7&gt;=0,BF7="*"),BE7,IF(BE7="dnb",0,IF(AND(BE7&lt;&gt;"",BF7=""),BE7-7,0)))</f>
        <v>0</v>
      </c>
      <c r="BF45" s="277"/>
      <c r="BH45" s="239">
        <f>IF(AND(BH7&gt;=0,BI7="*"),BH7,IF(BH7="dnb",0,IF(AND(BH7&lt;&gt;"",BI7=""),BH7-7,0)))</f>
        <v>0</v>
      </c>
      <c r="BI45" s="277"/>
      <c r="BK45" s="239">
        <f>IF(AND(BK7&gt;=0,BL7="*"),BK7,IF(BK7="dnb",0,IF(AND(BK7&lt;&gt;"",BL7=""),BK7-7,0)))</f>
        <v>78</v>
      </c>
      <c r="BL45" s="277"/>
      <c r="BN45" s="239">
        <f>IF(AND(BN7&gt;=0,BO7="*"),BN7,IF(BN7="dnb",0,IF(AND(BN7&lt;&gt;"",BO7=""),BN7-7,0)))</f>
        <v>30</v>
      </c>
      <c r="BO45" s="277"/>
      <c r="BQ45" s="239">
        <f>IF(AND(BQ7&gt;=0,BR7="*"),BQ7,IF(BQ7="dnb",0,IF(AND(BQ7&lt;&gt;"",BR7=""),BQ7-7,0)))</f>
        <v>65</v>
      </c>
      <c r="BR45" s="277"/>
      <c r="BT45" s="239">
        <f>IF(AND(BT7&gt;=0,BU7="*"),BT7,IF(BT7="dnb",0,IF(AND(BT7&lt;&gt;"",BU7=""),BT7-7,0)))</f>
        <v>19</v>
      </c>
      <c r="BU45" s="277"/>
      <c r="BW45" s="239">
        <f>IF(AND(BW7&gt;=0,BX7="*"),BW7,IF(BW7="dnb",0,IF(AND(BW7&lt;&gt;"",BX7=""),BW7-7,0)))</f>
        <v>0</v>
      </c>
      <c r="BX45" s="277"/>
      <c r="BZ45" s="239"/>
      <c r="CA45" s="239"/>
      <c r="CB45" s="239"/>
      <c r="CC45" s="239"/>
      <c r="CD45" s="239"/>
      <c r="CP45" s="239"/>
      <c r="CQ45" s="239"/>
      <c r="CR45" s="239"/>
      <c r="CS45" s="239"/>
      <c r="CT45" s="239"/>
      <c r="CU45" s="239"/>
      <c r="CV45" s="239"/>
      <c r="CX45" s="239"/>
      <c r="EQ45" s="119"/>
      <c r="ER45" s="119"/>
      <c r="ES45" s="119"/>
      <c r="ET45" s="119"/>
      <c r="EU45" s="119"/>
      <c r="EV45" s="119"/>
      <c r="EW45" s="119"/>
      <c r="EX45" s="119"/>
      <c r="EY45" s="119"/>
      <c r="EZ45" s="119"/>
      <c r="FA45" s="119"/>
      <c r="FB45" s="119"/>
    </row>
    <row r="46" spans="2:161" ht="13.5" customHeight="1" x14ac:dyDescent="0.2">
      <c r="B46" s="158" t="str">
        <f>B9</f>
        <v>PRICE, Richard</v>
      </c>
      <c r="C46" s="124"/>
      <c r="D46" s="124"/>
      <c r="E46" s="124"/>
      <c r="F46" s="124"/>
      <c r="G46" s="124"/>
      <c r="H46" s="124"/>
      <c r="I46" s="124"/>
      <c r="J46" s="278">
        <f>M9-M46</f>
        <v>0</v>
      </c>
      <c r="K46" s="124"/>
      <c r="L46" s="124"/>
      <c r="M46" s="278">
        <f t="shared" si="19"/>
        <v>181</v>
      </c>
      <c r="N46" s="274"/>
      <c r="O46" s="239"/>
      <c r="P46" s="239"/>
      <c r="R46" s="239">
        <f>IF(AND(R9&gt;=0,S9="*"),R9,IF(R9="dnb",0,IF(AND(R9&lt;&gt;"",S9=""),R9-7,0)))</f>
        <v>0</v>
      </c>
      <c r="S46" s="277"/>
      <c r="U46" s="239">
        <f>IF(AND(U9&gt;=0,V9="*"),U9,IF(U9="dnb",0,IF(AND(U9&lt;&gt;"",V9=""),U9-7,0)))</f>
        <v>0</v>
      </c>
      <c r="V46" s="277"/>
      <c r="X46" s="239">
        <f>IF(AND(X9&gt;=0,Y9="*"),X9,IF(X9="dnb",0,IF(AND(X9&lt;&gt;"",Y9=""),X9-7,0)))</f>
        <v>3</v>
      </c>
      <c r="Y46" s="277"/>
      <c r="AA46" s="239">
        <f>IF(AND(AA9&gt;=0,AB9="*"),AA9,IF(AA9="dnb",0,IF(AND(AA9&lt;&gt;"",AB9=""),AA9-7,0)))</f>
        <v>25</v>
      </c>
      <c r="AB46" s="277"/>
      <c r="AD46" s="239">
        <f>IF(AND(AD9&gt;=0,AE9="*"),AD9,IF(AD9="dnb",0,IF(AND(AD9&lt;&gt;"",AE9=""),AD9-7,0)))</f>
        <v>22</v>
      </c>
      <c r="AE46" s="277"/>
      <c r="AG46" s="239">
        <f>IF(AND(AG9&gt;=0,AH9="*"),AG9,IF(AG9="dnb",0,IF(AND(AG9&lt;&gt;"",AH9=""),AG9-7,0)))</f>
        <v>0</v>
      </c>
      <c r="AH46" s="277"/>
      <c r="AJ46" s="239">
        <f>IF(AND(AJ9&gt;=0,AK9="*"),AJ9,IF(AJ9="dnb",0,IF(AND(AJ9&lt;&gt;"",AK9=""),AJ9-7,0)))</f>
        <v>0</v>
      </c>
      <c r="AK46" s="277"/>
      <c r="AM46" s="239">
        <f>IF(AND(AM9&gt;=0,AN9="*"),AM9,IF(AM9="dnb",0,IF(AND(AM9&lt;&gt;"",AN9=""),AM9-7,0)))</f>
        <v>8</v>
      </c>
      <c r="AN46" s="277"/>
      <c r="AP46" s="239">
        <f>IF(AND(AP9&gt;=0,AQ9="*"),AP9,IF(AP9="dnb",0,IF(AND(AP9&lt;&gt;"",AQ9=""),AP9-7,0)))</f>
        <v>22</v>
      </c>
      <c r="AQ46" s="277"/>
      <c r="AS46" s="239">
        <f>IF(AND(AS9&gt;=0,AT9="*"),AS9,IF(AS9="dnb",0,IF(AND(AS9&lt;&gt;"",AT9=""),AS9-7,0)))</f>
        <v>38</v>
      </c>
      <c r="AT46" s="277"/>
      <c r="AV46" s="239">
        <f>IF(AND(AV9&gt;=0,AW9="*"),AV9,IF(AV9="dnb",0,IF(AND(AV9&lt;&gt;"",AW9=""),AV9-7,0)))</f>
        <v>14</v>
      </c>
      <c r="AW46" s="277"/>
      <c r="AY46" s="239">
        <f>IF(AND(AY9&gt;=0,AZ9="*"),AY9,IF(AY9="dnb",0,IF(AND(AY9&lt;&gt;"",AZ9=""),AY9-7,0)))</f>
        <v>-7</v>
      </c>
      <c r="AZ46" s="277"/>
      <c r="BB46" s="239">
        <f>IF(AND(BB9&gt;=0,BC9="*"),BB9,IF(BB9="dnb",0,IF(AND(BB9&lt;&gt;"",BC9=""),BB9-7,0)))</f>
        <v>0</v>
      </c>
      <c r="BC46" s="277"/>
      <c r="BE46" s="239">
        <f>IF(AND(BE9&gt;=0,BF9="*"),BE9,IF(BE9="dnb",0,IF(AND(BE9&lt;&gt;"",BF9=""),BE9-7,0)))</f>
        <v>32</v>
      </c>
      <c r="BF46" s="277"/>
      <c r="BH46" s="239">
        <f>IF(AND(BH9&gt;=0,BI9="*"),BH9,IF(BH9="dnb",0,IF(AND(BH9&lt;&gt;"",BI9=""),BH9-7,0)))</f>
        <v>0</v>
      </c>
      <c r="BI46" s="277"/>
      <c r="BK46" s="239">
        <f>IF(AND(BK9&gt;=0,BL9="*"),BK9,IF(BK9="dnb",0,IF(AND(BK9&lt;&gt;"",BL9=""),BK9-7,0)))</f>
        <v>-7</v>
      </c>
      <c r="BL46" s="277"/>
      <c r="BN46" s="239">
        <f>IF(AND(BN9&gt;=0,BO9="*"),BN9,IF(BN9="dnb",0,IF(AND(BN9&lt;&gt;"",BO9=""),BN9-7,0)))</f>
        <v>5</v>
      </c>
      <c r="BO46" s="277"/>
      <c r="BQ46" s="239">
        <f>IF(AND(BQ9&gt;=0,BR9="*"),BQ9,IF(BQ9="dnb",0,IF(AND(BQ9&lt;&gt;"",BR9=""),BQ9-7,0)))</f>
        <v>21</v>
      </c>
      <c r="BR46" s="277"/>
      <c r="BT46" s="239">
        <f>IF(AND(BT9&gt;=0,BU9="*"),BT9,IF(BT9="dnb",0,IF(AND(BT9&lt;&gt;"",BU9=""),BT9-7,0)))</f>
        <v>5</v>
      </c>
      <c r="BU46" s="277"/>
      <c r="BW46" s="239">
        <f>IF(AND(BW9&gt;=0,BX9="*"),BW9,IF(BW9="dnb",0,IF(AND(BW9&lt;&gt;"",BX9=""),BW9-7,0)))</f>
        <v>0</v>
      </c>
      <c r="BX46" s="277"/>
      <c r="BZ46" s="239"/>
      <c r="CA46" s="239"/>
      <c r="CB46" s="239"/>
      <c r="CC46" s="239"/>
      <c r="CD46" s="239"/>
      <c r="CP46" s="239"/>
      <c r="CQ46" s="239"/>
      <c r="CR46" s="239"/>
      <c r="CS46" s="239"/>
      <c r="CT46" s="239"/>
      <c r="CU46" s="239"/>
      <c r="CV46" s="239"/>
      <c r="CX46" s="239"/>
      <c r="EQ46" s="119"/>
      <c r="ER46" s="119"/>
      <c r="ES46" s="119"/>
      <c r="ET46" s="119"/>
      <c r="EU46" s="119"/>
      <c r="EV46" s="119"/>
      <c r="EW46" s="119"/>
      <c r="EX46" s="119"/>
      <c r="EY46" s="119"/>
      <c r="EZ46" s="119"/>
      <c r="FA46" s="119"/>
      <c r="FB46" s="119"/>
    </row>
    <row r="47" spans="2:161" ht="13.5" customHeight="1" x14ac:dyDescent="0.2">
      <c r="B47" s="158" t="str">
        <f>B8</f>
        <v>MASON, Jim</v>
      </c>
      <c r="C47" s="124"/>
      <c r="D47" s="124"/>
      <c r="E47" s="124"/>
      <c r="F47" s="124"/>
      <c r="G47" s="124"/>
      <c r="H47" s="124"/>
      <c r="I47" s="124"/>
      <c r="J47" s="278">
        <f>M8-M47</f>
        <v>0</v>
      </c>
      <c r="K47" s="124"/>
      <c r="L47" s="124"/>
      <c r="M47" s="278">
        <f t="shared" si="19"/>
        <v>138</v>
      </c>
      <c r="N47" s="274"/>
      <c r="O47" s="239"/>
      <c r="P47" s="239"/>
      <c r="R47" s="239">
        <f>IF(AND(R8&gt;0,S8="*"),R8,IF(R8="dnb",0,IF(AND(R8&lt;&gt;"",S8=""),R8-7,0)))</f>
        <v>0</v>
      </c>
      <c r="S47" s="277"/>
      <c r="U47" s="239">
        <f>IF(AND(U8&gt;0,V8="*"),U8,IF(U8="dnb",0,IF(AND(U8&lt;&gt;"",V8=""),U8-7,0)))</f>
        <v>0</v>
      </c>
      <c r="V47" s="277"/>
      <c r="X47" s="239">
        <f>IF(AND(X8&gt;0,Y8="*"),X8,IF(X8="dnb",0,IF(AND(X8&lt;&gt;"",Y8=""),X8-7,0)))</f>
        <v>2</v>
      </c>
      <c r="Y47" s="277"/>
      <c r="AA47" s="239">
        <f>IF(AND(AA8&gt;0,AB8="*"),AA8,IF(AA8="dnb",0,IF(AND(AA8&lt;&gt;"",AB8=""),AA8-7,0)))</f>
        <v>1</v>
      </c>
      <c r="AB47" s="277"/>
      <c r="AD47" s="239">
        <f>IF(AND(AD8&gt;0,AE8="*"),AD8,IF(AD8="dnb",0,IF(AND(AD8&lt;&gt;"",AE8=""),AD8-7,0)))</f>
        <v>7</v>
      </c>
      <c r="AE47" s="277"/>
      <c r="AG47" s="239">
        <f>IF(AND(AG8&gt;0,AH8="*"),AG8,IF(AG8="dnb",0,IF(AND(AG8&lt;&gt;"",AH8=""),AG8-7,0)))</f>
        <v>0</v>
      </c>
      <c r="AH47" s="277"/>
      <c r="AJ47" s="239">
        <f>IF(AND(AJ8&gt;0,AK8="*"),AJ8,IF(AJ8="dnb",0,IF(AND(AJ8&lt;&gt;"",AK8=""),AJ8-7,0)))</f>
        <v>0</v>
      </c>
      <c r="AK47" s="277"/>
      <c r="AM47" s="239">
        <f>IF(AND(AM8&gt;0,AN8="*"),AM8,IF(AM8="dnb",0,IF(AND(AM8&lt;&gt;"",AN8=""),AM8-7,0)))</f>
        <v>42</v>
      </c>
      <c r="AN47" s="277"/>
      <c r="AP47" s="239">
        <f>IF(AND(AP8&gt;0,AQ8="*"),AP8,IF(AP8="dnb",0,IF(AND(AP8&lt;&gt;"",AQ8=""),AP8-7,0)))</f>
        <v>-7</v>
      </c>
      <c r="AQ47" s="277"/>
      <c r="AS47" s="239">
        <f>IF(AND(AS8&gt;0,AT8="*"),AS8,IF(AS8="dnb",0,IF(AND(AS8&lt;&gt;"",AT8=""),AS8-7,0)))</f>
        <v>23</v>
      </c>
      <c r="AT47" s="277"/>
      <c r="AV47" s="239">
        <f>IF(AND(AV8&gt;0,AW8="*"),AV8,IF(AV8="dnb",0,IF(AND(AV8&lt;&gt;"",AW8=""),AV8-7,0)))</f>
        <v>24</v>
      </c>
      <c r="AW47" s="277"/>
      <c r="AY47" s="239">
        <f>IF(AND(AY8&gt;0,AZ8="*"),AY8,IF(AY8="dnb",0,IF(AND(AY8&lt;&gt;"",AZ8=""),AY8-7,0)))</f>
        <v>0</v>
      </c>
      <c r="AZ47" s="277"/>
      <c r="BB47" s="239">
        <f>IF(AND(BB8&gt;0,BC8="*"),BB8,IF(BB8="dnb",0,IF(AND(BB8&lt;&gt;"",BC8=""),BB8-7,0)))</f>
        <v>0</v>
      </c>
      <c r="BC47" s="277"/>
      <c r="BE47" s="239">
        <f>IF(AND(BE8&gt;0,BF8="*"),BE8,IF(BE8="dnb",0,IF(AND(BE8&lt;&gt;"",BF8=""),BE8-7,0)))</f>
        <v>25</v>
      </c>
      <c r="BF47" s="277"/>
      <c r="BH47" s="239">
        <f>IF(AND(BH8&gt;0,BI8="*"),BH8,IF(BH8="dnb",0,IF(AND(BH8&lt;&gt;"",BI8=""),BH8-7,0)))</f>
        <v>0</v>
      </c>
      <c r="BI47" s="277"/>
      <c r="BK47" s="239">
        <f>IF(AND(BK8&gt;0,BL8="*"),BK8,IF(BK8="dnb",0,IF(AND(BK8&lt;&gt;"",BL8=""),BK8-7,0)))</f>
        <v>7</v>
      </c>
      <c r="BL47" s="277"/>
      <c r="BN47" s="239">
        <f>IF(AND(BN8&gt;0,BO8="*"),BN8,IF(BN8="dnb",0,IF(AND(BN8&lt;&gt;"",BO8=""),BN8-7,0)))</f>
        <v>0</v>
      </c>
      <c r="BO47" s="277"/>
      <c r="BQ47" s="239">
        <f>IF(AND(BQ8&gt;0,BR8="*"),BQ8,IF(BQ8="dnb",0,IF(AND(BQ8&lt;&gt;"",BR8=""),BQ8-7,0)))</f>
        <v>21</v>
      </c>
      <c r="BR47" s="277"/>
      <c r="BT47" s="239">
        <f>IF(AND(BT8&gt;0,BU8="*"),BT8,IF(BT8="dnb",0,IF(AND(BT8&lt;&gt;"",BU8=""),BT8-7,0)))</f>
        <v>-7</v>
      </c>
      <c r="BU47" s="277"/>
      <c r="BW47" s="239">
        <f>IF(AND(BW8&gt;0,BX8="*"),BW8,IF(BW8="dnb",0,IF(AND(BW8&lt;&gt;"",BX8=""),BW8-7,0)))</f>
        <v>0</v>
      </c>
      <c r="BX47" s="277"/>
      <c r="BZ47" s="239"/>
      <c r="CA47" s="239"/>
      <c r="CB47" s="239"/>
      <c r="CC47" s="239"/>
      <c r="CD47" s="239"/>
      <c r="CP47" s="239"/>
      <c r="CQ47" s="239"/>
      <c r="CR47" s="239"/>
      <c r="CS47" s="239"/>
      <c r="CT47" s="239"/>
      <c r="CU47" s="239"/>
      <c r="CV47" s="239"/>
      <c r="CX47" s="239"/>
      <c r="EQ47" s="119"/>
      <c r="ER47" s="119"/>
      <c r="ES47" s="119"/>
      <c r="ET47" s="119"/>
      <c r="EU47" s="119"/>
      <c r="EV47" s="119"/>
      <c r="EW47" s="119"/>
      <c r="EX47" s="119"/>
      <c r="EY47" s="119"/>
      <c r="EZ47" s="119"/>
      <c r="FA47" s="119"/>
      <c r="FB47" s="119"/>
    </row>
    <row r="48" spans="2:161" ht="13.5" customHeight="1" x14ac:dyDescent="0.2">
      <c r="B48" s="158" t="str">
        <f>B14</f>
        <v>GRIEVE, Nick</v>
      </c>
      <c r="C48" s="124"/>
      <c r="D48" s="124"/>
      <c r="E48" s="124"/>
      <c r="F48" s="124"/>
      <c r="G48" s="124"/>
      <c r="H48" s="124"/>
      <c r="I48" s="124"/>
      <c r="J48" s="278">
        <f>M14-M48</f>
        <v>0</v>
      </c>
      <c r="K48" s="124"/>
      <c r="L48" s="124"/>
      <c r="M48" s="278">
        <f t="shared" si="19"/>
        <v>75</v>
      </c>
      <c r="N48" s="274"/>
      <c r="O48" s="239"/>
      <c r="P48" s="239"/>
      <c r="R48" s="239">
        <f>IF(AND(R14&gt;0,S14="*"),R14,IF(R14="dnb",0,IF(AND(R14&lt;&gt;"",S14=""),R14-7,0)))</f>
        <v>0</v>
      </c>
      <c r="S48" s="277"/>
      <c r="U48" s="239">
        <f>IF(AND(U14&gt;0,V14="*"),U14,IF(U14="dnb",0,IF(AND(U14&lt;&gt;"",V14=""),U14-7,0)))</f>
        <v>0</v>
      </c>
      <c r="V48" s="277"/>
      <c r="X48" s="239">
        <f>IF(AND(X14&gt;0,Y14="*"),X14,IF(X14="dnb",0,IF(AND(X14&lt;&gt;"",Y14=""),X14-7,0)))</f>
        <v>18</v>
      </c>
      <c r="Y48" s="277"/>
      <c r="AA48" s="239">
        <f>IF(AND(AA14&gt;0,AB14="*"),AA14,IF(AA14="dnb",0,IF(AND(AA14&lt;&gt;"",AB14=""),AA14-7,0)))</f>
        <v>0</v>
      </c>
      <c r="AB48" s="277"/>
      <c r="AD48" s="239">
        <f>IF(AND(AD14&gt;0,AE14="*"),AD14,IF(AD14="dnb",0,IF(AND(AD14&lt;&gt;"",AE14=""),AD14-7,0)))</f>
        <v>8</v>
      </c>
      <c r="AE48" s="277"/>
      <c r="AG48" s="239">
        <f>IF(AND(AG14&gt;0,AH14="*"),AG14,IF(AG14="dnb",0,IF(AND(AG14&lt;&gt;"",AH14=""),AG14-7,0)))</f>
        <v>0</v>
      </c>
      <c r="AH48" s="277"/>
      <c r="AJ48" s="239">
        <f>IF(AND(AJ14&gt;0,AK14="*"),AJ14,IF(AJ14="dnb",0,IF(AND(AJ14&lt;&gt;"",AK14=""),AJ14-7,0)))</f>
        <v>-7</v>
      </c>
      <c r="AK48" s="277"/>
      <c r="AM48" s="239">
        <f>IF(AND(AM14&gt;0,AN14="*"),AM14,IF(AM14="dnb",0,IF(AND(AM14&lt;&gt;"",AN14=""),AM14-7,0)))</f>
        <v>0</v>
      </c>
      <c r="AN48" s="277"/>
      <c r="AP48" s="239">
        <f>IF(AND(AP14&gt;0,AQ14="*"),AP14,IF(AP14="dnb",0,IF(AND(AP14&lt;&gt;"",AQ14=""),AP14-7,0)))</f>
        <v>9</v>
      </c>
      <c r="AQ48" s="277"/>
      <c r="AS48" s="239">
        <f>IF(AND(AS14&gt;0,AT14="*"),AS14,IF(AS14="dnb",0,IF(AND(AS14&lt;&gt;"",AT14=""),AS14-7,0)))</f>
        <v>0</v>
      </c>
      <c r="AT48" s="277"/>
      <c r="AV48" s="239">
        <f>IF(AND(AV14&gt;0,AW14="*"),AV14,IF(AV14="dnb",0,IF(AND(AV14&lt;&gt;"",AW14=""),AV14-7,0)))</f>
        <v>0</v>
      </c>
      <c r="AW48" s="277"/>
      <c r="AY48" s="239">
        <f>IF(AND(AY14&gt;0,AZ14="*"),AY14,IF(AY14="dnb",0,IF(AND(AY14&lt;&gt;"",AZ14=""),AY14-7,0)))</f>
        <v>15</v>
      </c>
      <c r="AZ48" s="277"/>
      <c r="BB48" s="239">
        <f>IF(AND(BB14&gt;0,BC14="*"),BB14,IF(BB14="dnb",0,IF(AND(BB14&lt;&gt;"",BC14=""),BB14-7,0)))</f>
        <v>0</v>
      </c>
      <c r="BC48" s="277"/>
      <c r="BE48" s="239">
        <f>IF(AND(BE14&gt;0,BF14="*"),BE14,IF(BE14="dnb",0,IF(AND(BE14&lt;&gt;"",BF14=""),BE14-7,0)))</f>
        <v>23</v>
      </c>
      <c r="BF48" s="277"/>
      <c r="BH48" s="239">
        <f>IF(AND(BH14&gt;0,BI14="*"),BH14,IF(BH14="dnb",0,IF(AND(BH14&lt;&gt;"",BI14=""),BH14-7,0)))</f>
        <v>0</v>
      </c>
      <c r="BI48" s="277"/>
      <c r="BK48" s="239">
        <f>IF(AND(BK14&gt;0,BL14="*"),BK14,IF(BK14="dnb",0,IF(AND(BK14&lt;&gt;"",BL14=""),BK14-7,0)))</f>
        <v>9</v>
      </c>
      <c r="BL48" s="277"/>
      <c r="BN48" s="239">
        <f>IF(AND(BN14&gt;0,BO14="*"),BN14,IF(BN14="dnb",0,IF(AND(BN14&lt;&gt;"",BO14=""),BN14-7,0)))</f>
        <v>0</v>
      </c>
      <c r="BO48" s="277"/>
      <c r="BQ48" s="239">
        <f>IF(AND(BQ14&gt;0,BR14="*"),BQ14,IF(BQ14="dnb",0,IF(AND(BQ14&lt;&gt;"",BR14=""),BQ14-7,0)))</f>
        <v>0</v>
      </c>
      <c r="BR48" s="277"/>
      <c r="BT48" s="239">
        <f>IF(AND(BT14&gt;0,BU14="*"),BT14,IF(BT14="dnb",0,IF(AND(BT14&lt;&gt;"",BU14=""),BT14-7,0)))</f>
        <v>0</v>
      </c>
      <c r="BU48" s="277"/>
      <c r="BW48" s="239">
        <f>IF(AND(BW14&gt;0,BX14="*"),BW14,IF(BW14="dnb",0,IF(AND(BW14&lt;&gt;"",BX14=""),BW14-7,0)))</f>
        <v>0</v>
      </c>
      <c r="BX48" s="277"/>
      <c r="BZ48" s="239"/>
      <c r="CA48" s="239"/>
      <c r="CB48" s="239"/>
      <c r="CC48" s="239"/>
      <c r="CD48" s="239"/>
      <c r="CP48" s="239"/>
      <c r="CQ48" s="239"/>
      <c r="CR48" s="239"/>
      <c r="CS48" s="239"/>
      <c r="CT48" s="239"/>
      <c r="CU48" s="239"/>
      <c r="CV48" s="239"/>
      <c r="CX48" s="239"/>
      <c r="EQ48" s="119"/>
      <c r="ER48" s="119"/>
      <c r="ES48" s="119"/>
      <c r="ET48" s="119"/>
      <c r="EU48" s="119"/>
      <c r="EV48" s="119"/>
      <c r="EW48" s="119"/>
      <c r="EX48" s="119"/>
      <c r="EY48" s="119"/>
      <c r="EZ48" s="119"/>
      <c r="FA48" s="119"/>
      <c r="FB48" s="119"/>
    </row>
    <row r="49" spans="2:158" ht="13.5" customHeight="1" x14ac:dyDescent="0.2">
      <c r="B49" s="158" t="str">
        <f>B15</f>
        <v>WERREN, Steve</v>
      </c>
      <c r="C49" s="124"/>
      <c r="D49" s="124"/>
      <c r="E49" s="124"/>
      <c r="F49" s="124"/>
      <c r="G49" s="124"/>
      <c r="H49" s="124"/>
      <c r="I49" s="124"/>
      <c r="J49" s="278">
        <f>M15-M49</f>
        <v>0</v>
      </c>
      <c r="K49" s="124"/>
      <c r="L49" s="124"/>
      <c r="M49" s="278">
        <f t="shared" si="19"/>
        <v>75</v>
      </c>
      <c r="N49" s="274"/>
      <c r="O49" s="239"/>
      <c r="P49" s="239"/>
      <c r="R49" s="239">
        <f>IF(AND(R15&gt;0,S15="*"),R15,IF(R15="dnb",0,IF(AND(R15&lt;&gt;"",S15=""),R15-7,0)))</f>
        <v>0</v>
      </c>
      <c r="S49" s="277"/>
      <c r="U49" s="239">
        <f>IF(AND(U15&gt;0,V15="*"),U15,IF(U15="dnb",0,IF(AND(U15&lt;&gt;"",V15=""),U15-7,0)))</f>
        <v>0</v>
      </c>
      <c r="V49" s="277"/>
      <c r="X49" s="239">
        <f>IF(AND(X15&gt;0,Y15="*"),X15,IF(X15="dnb",0,IF(AND(X15&lt;&gt;"",Y15=""),X15-7,0)))</f>
        <v>10</v>
      </c>
      <c r="Y49" s="277"/>
      <c r="AA49" s="239">
        <f>IF(AND(AA15&gt;0,AB15="*"),AA15,IF(AA15="dnb",0,IF(AND(AA15&lt;&gt;"",AB15=""),AA15-7,0)))</f>
        <v>7</v>
      </c>
      <c r="AB49" s="277"/>
      <c r="AD49" s="239">
        <f>IF(AND(AD15&gt;0,AE15="*"),AD15,IF(AD15="dnb",0,IF(AND(AD15&lt;&gt;"",AE15=""),AD15-7,0)))</f>
        <v>0</v>
      </c>
      <c r="AE49" s="277"/>
      <c r="AG49" s="239">
        <f>IF(AND(AG15&gt;0,AH15="*"),AG15,IF(AG15="dnb",0,IF(AND(AG15&lt;&gt;"",AH15=""),AG15-7,0)))</f>
        <v>0</v>
      </c>
      <c r="AH49" s="277"/>
      <c r="AJ49" s="239">
        <f>IF(AND(AJ15&gt;0,AK15="*"),AJ15,IF(AJ15="dnb",0,IF(AND(AJ15&lt;&gt;"",AK15=""),AJ15-7,0)))</f>
        <v>15</v>
      </c>
      <c r="AK49" s="277"/>
      <c r="AM49" s="239">
        <f>IF(AND(AM15&gt;0,AN15="*"),AM15,IF(AM15="dnb",0,IF(AND(AM15&lt;&gt;"",AN15=""),AM15-7,0)))</f>
        <v>15</v>
      </c>
      <c r="AN49" s="277"/>
      <c r="AP49" s="239">
        <f>IF(AND(AP15&gt;0,AQ15="*"),AP15,IF(AP15="dnb",0,IF(AND(AP15&lt;&gt;"",AQ15=""),AP15-7,0)))</f>
        <v>1</v>
      </c>
      <c r="AQ49" s="277"/>
      <c r="AS49" s="239">
        <f>IF(AND(AS15&gt;0,AT15="*"),AS15,IF(AS15="dnb",0,IF(AND(AS15&lt;&gt;"",AT15=""),AS15-7,0)))</f>
        <v>4</v>
      </c>
      <c r="AT49" s="277"/>
      <c r="AV49" s="239">
        <f>IF(AND(AV15&gt;0,AW15="*"),AV15,IF(AV15="dnb",0,IF(AND(AV15&lt;&gt;"",AW15=""),AV15-7,0)))</f>
        <v>14</v>
      </c>
      <c r="AW49" s="277"/>
      <c r="AY49" s="239">
        <f>IF(AND(AY15&gt;0,AZ15="*"),AY15,IF(AY15="dnb",0,IF(AND(AY15&lt;&gt;"",AZ15=""),AY15-7,0)))</f>
        <v>0</v>
      </c>
      <c r="AZ49" s="277"/>
      <c r="BB49" s="239">
        <f>IF(AND(BB15&gt;0,BC15="*"),BB15,IF(BB15="dnb",0,IF(AND(BB15&lt;&gt;"",BC15=""),BB15-7,0)))</f>
        <v>0</v>
      </c>
      <c r="BC49" s="277"/>
      <c r="BE49" s="239">
        <f>IF(AND(BE15&gt;0,BF15="*"),BE15,IF(BE15="dnb",0,IF(AND(BE15&lt;&gt;"",BF15=""),BE15-7,0)))</f>
        <v>0</v>
      </c>
      <c r="BF49" s="277"/>
      <c r="BH49" s="239">
        <f>IF(AND(BH15&gt;0,BI15="*"),BH15,IF(BH15="dnb",0,IF(AND(BH15&lt;&gt;"",BI15=""),BH15-7,0)))</f>
        <v>0</v>
      </c>
      <c r="BI49" s="277"/>
      <c r="BK49" s="239">
        <f>IF(AND(BK15&gt;0,BL15="*"),BK15,IF(BK15="dnb",0,IF(AND(BK15&lt;&gt;"",BL15=""),BK15-7,0)))</f>
        <v>0</v>
      </c>
      <c r="BL49" s="277"/>
      <c r="BN49" s="239">
        <f>IF(AND(BN15&gt;0,BO15="*"),BN15,IF(BN15="dnb",0,IF(AND(BN15&lt;&gt;"",BO15=""),BN15-7,0)))</f>
        <v>16</v>
      </c>
      <c r="BO49" s="277"/>
      <c r="BQ49" s="239">
        <f>IF(AND(BQ15&gt;0,BR15="*"),BQ15,IF(BQ15="dnb",0,IF(AND(BQ15&lt;&gt;"",BR15=""),BQ15-7,0)))</f>
        <v>0</v>
      </c>
      <c r="BR49" s="277"/>
      <c r="BT49" s="239">
        <f>IF(AND(BT15&gt;0,BU15="*"),BT15,IF(BT15="dnb",0,IF(AND(BT15&lt;&gt;"",BU15=""),BT15-7,0)))</f>
        <v>-7</v>
      </c>
      <c r="BU49" s="277"/>
      <c r="BW49" s="239">
        <f>IF(AND(BW15&gt;0,BX15="*"),BW15,IF(BW15="dnb",0,IF(AND(BW15&lt;&gt;"",BX15=""),BW15-7,0)))</f>
        <v>0</v>
      </c>
      <c r="BX49" s="277"/>
      <c r="BZ49" s="239"/>
      <c r="CA49" s="239"/>
      <c r="CB49" s="239"/>
      <c r="CC49" s="239"/>
      <c r="CD49" s="239"/>
      <c r="CP49" s="239"/>
      <c r="CQ49" s="239"/>
      <c r="CR49" s="239"/>
      <c r="CS49" s="239"/>
      <c r="CT49" s="239"/>
      <c r="CU49" s="239"/>
      <c r="CV49" s="239"/>
      <c r="CX49" s="239"/>
      <c r="EQ49" s="119"/>
      <c r="ER49" s="119"/>
      <c r="ES49" s="119"/>
      <c r="ET49" s="119"/>
      <c r="EU49" s="119"/>
      <c r="EV49" s="119"/>
      <c r="EW49" s="119"/>
      <c r="EX49" s="119"/>
      <c r="EY49" s="119"/>
      <c r="EZ49" s="119"/>
      <c r="FA49" s="119"/>
      <c r="FB49" s="119"/>
    </row>
    <row r="50" spans="2:158" ht="13.5" customHeight="1" x14ac:dyDescent="0.2">
      <c r="B50" s="158" t="str">
        <f>B16</f>
        <v>McLOGHLIN, Mick</v>
      </c>
      <c r="C50" s="124"/>
      <c r="D50" s="124"/>
      <c r="E50" s="124"/>
      <c r="F50" s="124"/>
      <c r="G50" s="124"/>
      <c r="H50" s="124"/>
      <c r="I50" s="124"/>
      <c r="J50" s="278">
        <f>M16-M50</f>
        <v>0</v>
      </c>
      <c r="K50" s="124"/>
      <c r="L50" s="124"/>
      <c r="M50" s="278">
        <f t="shared" si="19"/>
        <v>41</v>
      </c>
      <c r="N50" s="274"/>
      <c r="O50" s="239"/>
      <c r="P50" s="239"/>
      <c r="R50" s="239">
        <f>IF(AND(R16&gt;0,S16="*"),R16,IF(R16="dnb",0,IF(AND(R16&lt;&gt;"",S16=""),R16-7,0)))</f>
        <v>0</v>
      </c>
      <c r="S50" s="277"/>
      <c r="U50" s="239">
        <f>IF(AND(U16&gt;0,V16="*"),U16,IF(U16="dnb",0,IF(AND(U16&lt;&gt;"",V16=""),U16-7,0)))</f>
        <v>0</v>
      </c>
      <c r="V50" s="277"/>
      <c r="X50" s="239">
        <f>IF(AND(X16&gt;0,Y16="*"),X16,IF(X16="dnb",0,IF(AND(X16&lt;&gt;"",Y16=""),X16-7,0)))</f>
        <v>0</v>
      </c>
      <c r="Y50" s="277"/>
      <c r="AA50" s="239">
        <f>IF(AND(AA16&gt;0,AB16="*"),AA16,IF(AA16="dnb",0,IF(AND(AA16&lt;&gt;"",AB16=""),AA16-7,0)))</f>
        <v>0</v>
      </c>
      <c r="AB50" s="277"/>
      <c r="AD50" s="239">
        <f>IF(AND(AD16&gt;0,AE16="*"),AD16,IF(AD16="dnb",0,IF(AND(AD16&lt;&gt;"",AE16=""),AD16-7,0)))</f>
        <v>48</v>
      </c>
      <c r="AE50" s="277"/>
      <c r="AG50" s="239">
        <f>IF(AND(AG16&gt;0,AH16="*"),AG16,IF(AG16="dnb",0,IF(AND(AG16&lt;&gt;"",AH16=""),AG16-7,0)))</f>
        <v>0</v>
      </c>
      <c r="AH50" s="277"/>
      <c r="AJ50" s="239">
        <f>IF(AND(AJ16&gt;0,AK16="*"),AJ16,IF(AJ16="dnb",0,IF(AND(AJ16&lt;&gt;"",AK16=""),AJ16-7,0)))</f>
        <v>-7</v>
      </c>
      <c r="AK50" s="277"/>
      <c r="AM50" s="239">
        <f>IF(AND(AM16&gt;0,AN16="*"),AM16,IF(AM16="dnb",0,IF(AND(AM16&lt;&gt;"",AN16=""),AM16-7,0)))</f>
        <v>0</v>
      </c>
      <c r="AN50" s="277"/>
      <c r="AP50" s="239">
        <f>IF(AND(AP16&gt;0,AQ16="*"),AP16,IF(AP16="dnb",0,IF(AND(AP16&lt;&gt;"",AQ16=""),AP16-7,0)))</f>
        <v>0</v>
      </c>
      <c r="AQ50" s="277"/>
      <c r="AS50" s="239">
        <f>IF(AND(AS16&gt;0,AT16="*"),AS16,IF(AS16="dnb",0,IF(AND(AS16&lt;&gt;"",AT16=""),AS16-7,0)))</f>
        <v>0</v>
      </c>
      <c r="AT50" s="277"/>
      <c r="AV50" s="239">
        <f>IF(AND(AV16&gt;0,AW16="*"),AV16,IF(AV16="dnb",0,IF(AND(AV16&lt;&gt;"",AW16=""),AV16-7,0)))</f>
        <v>0</v>
      </c>
      <c r="AW50" s="277"/>
      <c r="AY50" s="239">
        <f>IF(AND(AY16&gt;0,AZ16="*"),AY16,IF(AY16="dnb",0,IF(AND(AY16&lt;&gt;"",AZ16=""),AY16-7,0)))</f>
        <v>0</v>
      </c>
      <c r="AZ50" s="277"/>
      <c r="BB50" s="239">
        <f>IF(AND(BB16&gt;0,BC16="*"),BB16,IF(BB16="dnb",0,IF(AND(BB16&lt;&gt;"",BC16=""),BB16-7,0)))</f>
        <v>0</v>
      </c>
      <c r="BC50" s="277"/>
      <c r="BE50" s="239">
        <f>IF(AND(BE16&gt;0,BF16="*"),BE16,IF(BE16="dnb",0,IF(AND(BE16&lt;&gt;"",BF16=""),BE16-7,0)))</f>
        <v>0</v>
      </c>
      <c r="BF50" s="277"/>
      <c r="BH50" s="239">
        <f>IF(AND(BH16&gt;0,BI16="*"),BH16,IF(BH16="dnb",0,IF(AND(BH16&lt;&gt;"",BI16=""),BH16-7,0)))</f>
        <v>0</v>
      </c>
      <c r="BI50" s="277"/>
      <c r="BK50" s="239">
        <f>IF(AND(BK16&gt;0,BL16="*"),BK16,IF(BK16="dnb",0,IF(AND(BK16&lt;&gt;"",BL16=""),BK16-7,0)))</f>
        <v>0</v>
      </c>
      <c r="BL50" s="277"/>
      <c r="BN50" s="239">
        <f>IF(AND(BN16&gt;0,BO16="*"),BN16,IF(BN16="dnb",0,IF(AND(BN16&lt;&gt;"",BO16=""),BN16-7,0)))</f>
        <v>0</v>
      </c>
      <c r="BO50" s="277"/>
      <c r="BQ50" s="239">
        <f>IF(AND(BQ16&gt;0,BR16="*"),BQ16,IF(BQ16="dnb",0,IF(AND(BQ16&lt;&gt;"",BR16=""),BQ16-7,0)))</f>
        <v>0</v>
      </c>
      <c r="BR50" s="277"/>
      <c r="BT50" s="239">
        <f>IF(AND(BT16&gt;0,BU16="*"),BT16,IF(BT16="dnb",0,IF(AND(BT16&lt;&gt;"",BU16=""),BT16-7,0)))</f>
        <v>0</v>
      </c>
      <c r="BU50" s="277"/>
      <c r="BW50" s="239">
        <f>IF(AND(BW16&gt;0,BX16="*"),BW16,IF(BW16="dnb",0,IF(AND(BW16&lt;&gt;"",BX16=""),BW16-7,0)))</f>
        <v>0</v>
      </c>
      <c r="BX50" s="277"/>
      <c r="BZ50" s="239"/>
      <c r="CA50" s="239"/>
      <c r="CB50" s="239"/>
      <c r="CC50" s="239"/>
      <c r="CD50" s="239"/>
      <c r="CP50" s="239"/>
      <c r="CQ50" s="239"/>
      <c r="CR50" s="239"/>
      <c r="CS50" s="239"/>
      <c r="CT50" s="239"/>
      <c r="CU50" s="239"/>
      <c r="CV50" s="239"/>
      <c r="CX50" s="239"/>
      <c r="EQ50" s="119"/>
      <c r="ER50" s="119"/>
      <c r="ES50" s="119"/>
      <c r="ET50" s="119"/>
      <c r="EU50" s="119"/>
      <c r="EV50" s="119"/>
      <c r="EW50" s="119"/>
      <c r="EX50" s="119"/>
      <c r="EY50" s="119"/>
      <c r="EZ50" s="119"/>
      <c r="FA50" s="119"/>
      <c r="FB50" s="119"/>
    </row>
    <row r="51" spans="2:158" ht="13.5" customHeight="1" x14ac:dyDescent="0.2">
      <c r="B51" s="158" t="str">
        <f>B17</f>
        <v>COLEMAN, Nathan</v>
      </c>
      <c r="C51" s="124"/>
      <c r="D51" s="124"/>
      <c r="E51" s="124"/>
      <c r="F51" s="124"/>
      <c r="G51" s="124"/>
      <c r="H51" s="124"/>
      <c r="I51" s="124"/>
      <c r="J51" s="278">
        <f>M17-M51</f>
        <v>0</v>
      </c>
      <c r="K51" s="124"/>
      <c r="L51" s="124"/>
      <c r="M51" s="278">
        <f t="shared" si="19"/>
        <v>33</v>
      </c>
      <c r="N51" s="274"/>
      <c r="O51" s="239"/>
      <c r="P51" s="239"/>
      <c r="R51" s="239">
        <f>IF(AND(R17&gt;0,S17="*"),R17,IF(R17="dnb",0,IF(AND(R17&lt;&gt;"",S17=""),R17-7,0)))</f>
        <v>0</v>
      </c>
      <c r="S51" s="277"/>
      <c r="U51" s="239">
        <f>IF(AND(U17&gt;0,V17="*"),U17,IF(U17="dnb",0,IF(AND(U17&lt;&gt;"",V17=""),U17-7,0)))</f>
        <v>0</v>
      </c>
      <c r="V51" s="277"/>
      <c r="X51" s="239">
        <f>IF(AND(X17&gt;0,Y17="*"),X17,IF(X17="dnb",0,IF(AND(X17&lt;&gt;"",Y17=""),X17-7,0)))</f>
        <v>0</v>
      </c>
      <c r="Y51" s="277"/>
      <c r="AA51" s="239">
        <f>IF(AND(AA17&gt;0,AB17="*"),AA17,IF(AA17="dnb",0,IF(AND(AA17&lt;&gt;"",AB17=""),AA17-7,0)))</f>
        <v>0</v>
      </c>
      <c r="AB51" s="277"/>
      <c r="AD51" s="239">
        <f>IF(AND(AD17&gt;0,AE17="*"),AD17,IF(AD17="dnb",0,IF(AND(AD17&lt;&gt;"",AE17=""),AD17-7,0)))</f>
        <v>0</v>
      </c>
      <c r="AE51" s="277"/>
      <c r="AG51" s="239">
        <f>IF(AND(AG17&gt;0,AH17="*"),AG17,IF(AG17="dnb",0,IF(AND(AG17&lt;&gt;"",AH17=""),AG17-7,0)))</f>
        <v>0</v>
      </c>
      <c r="AH51" s="277"/>
      <c r="AJ51" s="239">
        <f>IF(AND(AJ17&gt;0,AK17="*"),AJ17,IF(AJ17="dnb",0,IF(AND(AJ17&lt;&gt;"",AK17=""),AJ17-7,0)))</f>
        <v>0</v>
      </c>
      <c r="AK51" s="277"/>
      <c r="AM51" s="239">
        <f>IF(AND(AM17&gt;0,AN17="*"),AM17,IF(AM17="dnb",0,IF(AND(AM17&lt;&gt;"",AN17=""),AM17-7,0)))</f>
        <v>0</v>
      </c>
      <c r="AN51" s="277"/>
      <c r="AP51" s="239">
        <f>IF(AND(AP17&gt;0,AQ17="*"),AP17,IF(AP17="dnb",0,IF(AND(AP17&lt;&gt;"",AQ17=""),AP17-7,0)))</f>
        <v>0</v>
      </c>
      <c r="AQ51" s="277"/>
      <c r="AS51" s="239">
        <f>IF(AND(AS17&gt;0,AT17="*"),AS17,IF(AS17="dnb",0,IF(AND(AS17&lt;&gt;"",AT17=""),AS17-7,0)))</f>
        <v>0</v>
      </c>
      <c r="AT51" s="277"/>
      <c r="AV51" s="239">
        <f>IF(AND(AV17&gt;0,AW17="*"),AV17,IF(AV17="dnb",0,IF(AND(AV17&lt;&gt;"",AW17=""),AV17-7,0)))</f>
        <v>-1</v>
      </c>
      <c r="AW51" s="277"/>
      <c r="AY51" s="239">
        <f>IF(AND(AY17&gt;0,AZ17="*"),AY17,IF(AY17="dnb",0,IF(AND(AY17&lt;&gt;"",AZ17=""),AY17-7,0)))</f>
        <v>0</v>
      </c>
      <c r="AZ51" s="277"/>
      <c r="BB51" s="239">
        <f>IF(AND(BB17&gt;0,BC17="*"),BB17,IF(BB17="dnb",0,IF(AND(BB17&lt;&gt;"",BC17=""),BB17-7,0)))</f>
        <v>0</v>
      </c>
      <c r="BC51" s="277"/>
      <c r="BE51" s="239">
        <f>IF(AND(BE17&gt;0,BF17="*"),BE17,IF(BE17="dnb",0,IF(AND(BE17&lt;&gt;"",BF17=""),BE17-7,0)))</f>
        <v>0</v>
      </c>
      <c r="BF51" s="277"/>
      <c r="BH51" s="239">
        <f>IF(AND(BH17&gt;0,BI17="*"),BH17,IF(BH17="dnb",0,IF(AND(BH17&lt;&gt;"",BI17=""),BH17-7,0)))</f>
        <v>0</v>
      </c>
      <c r="BI51" s="277"/>
      <c r="BK51" s="239">
        <f>IF(AND(BK17&gt;0,BL17="*"),BK17,IF(BK17="dnb",0,IF(AND(BK17&lt;&gt;"",BL17=""),BK17-7,0)))</f>
        <v>0</v>
      </c>
      <c r="BL51" s="277"/>
      <c r="BN51" s="239">
        <f>IF(AND(BN17&gt;0,BO17="*"),BN17,IF(BN17="dnb",0,IF(AND(BN17&lt;&gt;"",BO17=""),BN17-7,0)))</f>
        <v>34</v>
      </c>
      <c r="BO51" s="277"/>
      <c r="BQ51" s="239">
        <f>IF(AND(BQ17&gt;0,BR17="*"),BQ17,IF(BQ17="dnb",0,IF(AND(BQ17&lt;&gt;"",BR17=""),BQ17-7,0)))</f>
        <v>0</v>
      </c>
      <c r="BR51" s="277"/>
      <c r="BT51" s="239">
        <f>IF(AND(BT17&gt;0,BU17="*"),BT17,IF(BT17="dnb",0,IF(AND(BT17&lt;&gt;"",BU17=""),BT17-7,0)))</f>
        <v>0</v>
      </c>
      <c r="BU51" s="277"/>
      <c r="BW51" s="239">
        <f>IF(AND(BW17&gt;0,BX17="*"),BW17,IF(BW17="dnb",0,IF(AND(BW17&lt;&gt;"",BX17=""),BW17-7,0)))</f>
        <v>0</v>
      </c>
      <c r="BX51" s="277"/>
      <c r="BZ51" s="239"/>
      <c r="CA51" s="239"/>
      <c r="CB51" s="239"/>
      <c r="CC51" s="239"/>
      <c r="CD51" s="239"/>
      <c r="CP51" s="239"/>
      <c r="CQ51" s="239"/>
      <c r="CR51" s="239"/>
      <c r="CS51" s="239"/>
      <c r="CT51" s="239"/>
      <c r="CU51" s="239"/>
      <c r="CV51" s="239"/>
      <c r="CX51" s="239"/>
      <c r="EQ51" s="119"/>
      <c r="ER51" s="119"/>
      <c r="ES51" s="119"/>
      <c r="ET51" s="119"/>
      <c r="EU51" s="119"/>
      <c r="EV51" s="119"/>
      <c r="EW51" s="119"/>
      <c r="EX51" s="119"/>
      <c r="EY51" s="119"/>
      <c r="EZ51" s="119"/>
      <c r="FA51" s="119"/>
      <c r="FB51" s="119"/>
    </row>
    <row r="52" spans="2:158" ht="13.5" customHeight="1" x14ac:dyDescent="0.2">
      <c r="B52" s="158" t="str">
        <f t="shared" ref="B52:B58" si="20">B19</f>
        <v>SHELDON, Mike</v>
      </c>
      <c r="C52" s="124"/>
      <c r="D52" s="124"/>
      <c r="E52" s="124"/>
      <c r="F52" s="124"/>
      <c r="G52" s="124"/>
      <c r="H52" s="124"/>
      <c r="I52" s="124"/>
      <c r="J52" s="278">
        <f t="shared" ref="J52:J58" si="21">M19-M52</f>
        <v>0</v>
      </c>
      <c r="K52" s="124"/>
      <c r="L52" s="124"/>
      <c r="M52" s="278">
        <f t="shared" si="19"/>
        <v>21</v>
      </c>
      <c r="N52" s="274"/>
      <c r="O52" s="239"/>
      <c r="P52" s="239"/>
      <c r="R52" s="239">
        <f t="shared" ref="R52:R58" si="22">IF(AND(R19&gt;0,S19="*"),R19,IF(R19="dnb",0,IF(AND(R19&lt;&gt;"",S19=""),R19-7,0)))</f>
        <v>0</v>
      </c>
      <c r="S52" s="277"/>
      <c r="U52" s="239">
        <f t="shared" ref="U52:U58" si="23">IF(AND(U19&gt;0,V19="*"),U19,IF(U19="dnb",0,IF(AND(U19&lt;&gt;"",V19=""),U19-7,0)))</f>
        <v>0</v>
      </c>
      <c r="V52" s="277"/>
      <c r="X52" s="239">
        <f t="shared" ref="X52:X58" si="24">IF(AND(X19&gt;0,Y19="*"),X19,IF(X19="dnb",0,IF(AND(X19&lt;&gt;"",Y19=""),X19-7,0)))</f>
        <v>0</v>
      </c>
      <c r="Y52" s="277"/>
      <c r="AA52" s="239">
        <f t="shared" ref="AA52:AA58" si="25">IF(AND(AA19&gt;0,AB19="*"),AA19,IF(AA19="dnb",0,IF(AND(AA19&lt;&gt;"",AB19=""),AA19-7,0)))</f>
        <v>0</v>
      </c>
      <c r="AB52" s="277"/>
      <c r="AD52" s="239">
        <f t="shared" ref="AD52:AD58" si="26">IF(AND(AD19&gt;0,AE19="*"),AD19,IF(AD19="dnb",0,IF(AND(AD19&lt;&gt;"",AE19=""),AD19-7,0)))</f>
        <v>0</v>
      </c>
      <c r="AE52" s="277"/>
      <c r="AG52" s="239">
        <f t="shared" ref="AG52:AG58" si="27">IF(AND(AG19&gt;0,AH19="*"),AG19,IF(AG19="dnb",0,IF(AND(AG19&lt;&gt;"",AH19=""),AG19-7,0)))</f>
        <v>0</v>
      </c>
      <c r="AH52" s="277"/>
      <c r="AJ52" s="239">
        <f t="shared" ref="AJ52:AJ58" si="28">IF(AND(AJ19&gt;0,AK19="*"),AJ19,IF(AJ19="dnb",0,IF(AND(AJ19&lt;&gt;"",AK19=""),AJ19-7,0)))</f>
        <v>0</v>
      </c>
      <c r="AK52" s="277"/>
      <c r="AM52" s="239">
        <f t="shared" ref="AM52:AM58" si="29">IF(AND(AM19&gt;0,AN19="*"),AM19,IF(AM19="dnb",0,IF(AND(AM19&lt;&gt;"",AN19=""),AM19-7,0)))</f>
        <v>-7</v>
      </c>
      <c r="AN52" s="277"/>
      <c r="AP52" s="239">
        <f t="shared" ref="AP52:AP58" si="30">IF(AND(AP19&gt;0,AQ19="*"),AP19,IF(AP19="dnb",0,IF(AND(AP19&lt;&gt;"",AQ19=""),AP19-7,0)))</f>
        <v>0</v>
      </c>
      <c r="AQ52" s="277"/>
      <c r="AS52" s="239">
        <f t="shared" ref="AS52:AS58" si="31">IF(AND(AS19&gt;0,AT19="*"),AS19,IF(AS19="dnb",0,IF(AND(AS19&lt;&gt;"",AT19=""),AS19-7,0)))</f>
        <v>0</v>
      </c>
      <c r="AT52" s="277"/>
      <c r="AV52" s="239">
        <f t="shared" ref="AV52:AV58" si="32">IF(AND(AV19&gt;0,AW19="*"),AV19,IF(AV19="dnb",0,IF(AND(AV19&lt;&gt;"",AW19=""),AV19-7,0)))</f>
        <v>0</v>
      </c>
      <c r="AW52" s="277"/>
      <c r="AY52" s="239">
        <f t="shared" ref="AY52:AY58" si="33">IF(AND(AY19&gt;0,AZ19="*"),AY19,IF(AY19="dnb",0,IF(AND(AY19&lt;&gt;"",AZ19=""),AY19-7,0)))</f>
        <v>0</v>
      </c>
      <c r="AZ52" s="277"/>
      <c r="BB52" s="239">
        <f t="shared" ref="BB52:BB58" si="34">IF(AND(BB19&gt;0,BC19="*"),BB19,IF(BB19="dnb",0,IF(AND(BB19&lt;&gt;"",BC19=""),BB19-7,0)))</f>
        <v>0</v>
      </c>
      <c r="BC52" s="277"/>
      <c r="BE52" s="239">
        <f t="shared" ref="BE52:BE58" si="35">IF(AND(BE19&gt;0,BF19="*"),BE19,IF(BE19="dnb",0,IF(AND(BE19&lt;&gt;"",BF19=""),BE19-7,0)))</f>
        <v>0</v>
      </c>
      <c r="BF52" s="277"/>
      <c r="BH52" s="239">
        <f t="shared" ref="BH52:BH58" si="36">IF(AND(BH19&gt;0,BI19="*"),BH19,IF(BH19="dnb",0,IF(AND(BH19&lt;&gt;"",BI19=""),BH19-7,0)))</f>
        <v>0</v>
      </c>
      <c r="BI52" s="277"/>
      <c r="BK52" s="239">
        <f t="shared" ref="BK52:BK58" si="37">IF(AND(BK19&gt;0,BL19="*"),BK19,IF(BK19="dnb",0,IF(AND(BK19&lt;&gt;"",BL19=""),BK19-7,0)))</f>
        <v>0</v>
      </c>
      <c r="BL52" s="277"/>
      <c r="BN52" s="239">
        <f t="shared" ref="BN52:BN58" si="38">IF(AND(BN19&gt;0,BO19="*"),BN19,IF(BN19="dnb",0,IF(AND(BN19&lt;&gt;"",BO19=""),BN19-7,0)))</f>
        <v>0</v>
      </c>
      <c r="BO52" s="277"/>
      <c r="BQ52" s="239">
        <f t="shared" ref="BQ52:BQ58" si="39">IF(AND(BQ19&gt;0,BR19="*"),BQ19,IF(BQ19="dnb",0,IF(AND(BQ19&lt;&gt;"",BR19=""),BQ19-7,0)))</f>
        <v>33</v>
      </c>
      <c r="BR52" s="277"/>
      <c r="BT52" s="239">
        <f t="shared" ref="BT52:BT58" si="40">IF(AND(BT19&gt;0,BU19="*"),BT19,IF(BT19="dnb",0,IF(AND(BT19&lt;&gt;"",BU19=""),BT19-7,0)))</f>
        <v>-5</v>
      </c>
      <c r="BU52" s="277"/>
      <c r="BW52" s="239">
        <f t="shared" ref="BW52:BW58" si="41">IF(AND(BW19&gt;0,BX19="*"),BW19,IF(BW19="dnb",0,IF(AND(BW19&lt;&gt;"",BX19=""),BW19-7,0)))</f>
        <v>0</v>
      </c>
      <c r="BX52" s="277"/>
      <c r="BZ52" s="239"/>
      <c r="CA52" s="239"/>
      <c r="CB52" s="239"/>
      <c r="CC52" s="239"/>
      <c r="CD52" s="239"/>
      <c r="CP52" s="239"/>
      <c r="CQ52" s="239"/>
      <c r="CR52" s="239"/>
      <c r="CS52" s="239"/>
      <c r="CT52" s="239"/>
      <c r="CU52" s="239"/>
      <c r="CV52" s="239"/>
      <c r="CX52" s="239"/>
      <c r="EQ52" s="119"/>
      <c r="ER52" s="119"/>
      <c r="ES52" s="119"/>
      <c r="ET52" s="119"/>
      <c r="EU52" s="119"/>
      <c r="EV52" s="119"/>
      <c r="EW52" s="119"/>
      <c r="EX52" s="119"/>
      <c r="EY52" s="119"/>
      <c r="EZ52" s="119"/>
      <c r="FA52" s="119"/>
      <c r="FB52" s="119"/>
    </row>
    <row r="53" spans="2:158" ht="13.5" customHeight="1" x14ac:dyDescent="0.2">
      <c r="B53" s="158" t="str">
        <f t="shared" si="20"/>
        <v>NIAZ, Bilal</v>
      </c>
      <c r="C53" s="124"/>
      <c r="D53" s="124"/>
      <c r="E53" s="124"/>
      <c r="F53" s="124"/>
      <c r="G53" s="124"/>
      <c r="H53" s="124"/>
      <c r="I53" s="124"/>
      <c r="J53" s="278">
        <f t="shared" si="21"/>
        <v>0</v>
      </c>
      <c r="K53" s="124"/>
      <c r="L53" s="124"/>
      <c r="M53" s="278">
        <f t="shared" si="19"/>
        <v>22</v>
      </c>
      <c r="N53" s="274"/>
      <c r="O53" s="239"/>
      <c r="P53" s="239"/>
      <c r="R53" s="239">
        <f t="shared" si="22"/>
        <v>0</v>
      </c>
      <c r="S53" s="277"/>
      <c r="U53" s="239">
        <f t="shared" si="23"/>
        <v>0</v>
      </c>
      <c r="V53" s="277"/>
      <c r="X53" s="239">
        <f t="shared" si="24"/>
        <v>0</v>
      </c>
      <c r="Y53" s="277"/>
      <c r="AA53" s="239">
        <f t="shared" si="25"/>
        <v>0</v>
      </c>
      <c r="AB53" s="277"/>
      <c r="AD53" s="239">
        <f t="shared" si="26"/>
        <v>0</v>
      </c>
      <c r="AE53" s="277"/>
      <c r="AG53" s="239">
        <f t="shared" si="27"/>
        <v>0</v>
      </c>
      <c r="AH53" s="277"/>
      <c r="AJ53" s="239">
        <f t="shared" si="28"/>
        <v>0</v>
      </c>
      <c r="AK53" s="277"/>
      <c r="AM53" s="239">
        <f t="shared" si="29"/>
        <v>0</v>
      </c>
      <c r="AN53" s="277"/>
      <c r="AP53" s="239">
        <f t="shared" si="30"/>
        <v>0</v>
      </c>
      <c r="AQ53" s="277"/>
      <c r="AS53" s="239">
        <f t="shared" si="31"/>
        <v>-7</v>
      </c>
      <c r="AT53" s="277"/>
      <c r="AV53" s="239">
        <f t="shared" si="32"/>
        <v>-3</v>
      </c>
      <c r="AW53" s="277"/>
      <c r="AY53" s="239">
        <f t="shared" si="33"/>
        <v>29</v>
      </c>
      <c r="AZ53" s="277"/>
      <c r="BB53" s="239">
        <f t="shared" si="34"/>
        <v>0</v>
      </c>
      <c r="BC53" s="277"/>
      <c r="BE53" s="239">
        <f t="shared" si="35"/>
        <v>0</v>
      </c>
      <c r="BF53" s="277"/>
      <c r="BH53" s="239">
        <f t="shared" si="36"/>
        <v>0</v>
      </c>
      <c r="BI53" s="277"/>
      <c r="BK53" s="239">
        <f t="shared" si="37"/>
        <v>10</v>
      </c>
      <c r="BL53" s="277"/>
      <c r="BN53" s="239">
        <f t="shared" si="38"/>
        <v>-7</v>
      </c>
      <c r="BO53" s="277"/>
      <c r="BQ53" s="239">
        <f t="shared" si="39"/>
        <v>0</v>
      </c>
      <c r="BR53" s="277"/>
      <c r="BT53" s="239">
        <f t="shared" si="40"/>
        <v>0</v>
      </c>
      <c r="BU53" s="277"/>
      <c r="BW53" s="239">
        <f t="shared" si="41"/>
        <v>0</v>
      </c>
      <c r="BX53" s="277"/>
      <c r="BZ53" s="239"/>
      <c r="CA53" s="239"/>
      <c r="CB53" s="239"/>
      <c r="CC53" s="239"/>
      <c r="CD53" s="239"/>
      <c r="CP53" s="239"/>
      <c r="CQ53" s="239"/>
      <c r="CR53" s="239"/>
      <c r="CS53" s="239"/>
      <c r="CT53" s="239"/>
      <c r="CU53" s="239"/>
      <c r="CV53" s="239"/>
      <c r="CX53" s="239"/>
      <c r="EQ53" s="119"/>
      <c r="ER53" s="119"/>
      <c r="ES53" s="119"/>
      <c r="ET53" s="119"/>
      <c r="EU53" s="119"/>
      <c r="EV53" s="119"/>
      <c r="EW53" s="119"/>
      <c r="EX53" s="119"/>
      <c r="EY53" s="119"/>
      <c r="EZ53" s="119"/>
      <c r="FA53" s="119"/>
      <c r="FB53" s="119"/>
    </row>
    <row r="54" spans="2:158" ht="13.5" customHeight="1" x14ac:dyDescent="0.2">
      <c r="B54" s="158" t="str">
        <f t="shared" si="20"/>
        <v>OVENS, Rhett</v>
      </c>
      <c r="C54" s="124"/>
      <c r="D54" s="124"/>
      <c r="E54" s="124"/>
      <c r="F54" s="124"/>
      <c r="G54" s="124"/>
      <c r="H54" s="124"/>
      <c r="I54" s="124"/>
      <c r="J54" s="278">
        <f t="shared" si="21"/>
        <v>0</v>
      </c>
      <c r="K54" s="124"/>
      <c r="L54" s="124"/>
      <c r="M54" s="278">
        <f t="shared" si="19"/>
        <v>22</v>
      </c>
      <c r="N54" s="274"/>
      <c r="O54" s="239"/>
      <c r="P54" s="239"/>
      <c r="R54" s="239">
        <f t="shared" si="22"/>
        <v>0</v>
      </c>
      <c r="S54" s="277"/>
      <c r="U54" s="239">
        <f t="shared" si="23"/>
        <v>0</v>
      </c>
      <c r="V54" s="277"/>
      <c r="X54" s="239">
        <f t="shared" si="24"/>
        <v>22</v>
      </c>
      <c r="Y54" s="277"/>
      <c r="AA54" s="239">
        <f t="shared" si="25"/>
        <v>0</v>
      </c>
      <c r="AB54" s="277"/>
      <c r="AD54" s="239">
        <f t="shared" si="26"/>
        <v>0</v>
      </c>
      <c r="AE54" s="277"/>
      <c r="AG54" s="239">
        <f t="shared" si="27"/>
        <v>0</v>
      </c>
      <c r="AH54" s="277"/>
      <c r="AJ54" s="239">
        <f t="shared" si="28"/>
        <v>0</v>
      </c>
      <c r="AK54" s="277"/>
      <c r="AM54" s="239">
        <f t="shared" si="29"/>
        <v>0</v>
      </c>
      <c r="AN54" s="277"/>
      <c r="AP54" s="239">
        <f t="shared" si="30"/>
        <v>0</v>
      </c>
      <c r="AQ54" s="277"/>
      <c r="AS54" s="239">
        <f t="shared" si="31"/>
        <v>0</v>
      </c>
      <c r="AT54" s="277"/>
      <c r="AV54" s="239">
        <f t="shared" si="32"/>
        <v>0</v>
      </c>
      <c r="AW54" s="277"/>
      <c r="AY54" s="239">
        <f t="shared" si="33"/>
        <v>0</v>
      </c>
      <c r="AZ54" s="277"/>
      <c r="BB54" s="239">
        <f t="shared" si="34"/>
        <v>0</v>
      </c>
      <c r="BC54" s="277"/>
      <c r="BE54" s="239">
        <f t="shared" si="35"/>
        <v>0</v>
      </c>
      <c r="BF54" s="277"/>
      <c r="BH54" s="239">
        <f t="shared" si="36"/>
        <v>0</v>
      </c>
      <c r="BI54" s="277"/>
      <c r="BK54" s="239">
        <f t="shared" si="37"/>
        <v>0</v>
      </c>
      <c r="BL54" s="277"/>
      <c r="BN54" s="239">
        <f t="shared" si="38"/>
        <v>0</v>
      </c>
      <c r="BO54" s="277"/>
      <c r="BQ54" s="239">
        <f t="shared" si="39"/>
        <v>0</v>
      </c>
      <c r="BR54" s="277"/>
      <c r="BT54" s="239">
        <f t="shared" si="40"/>
        <v>0</v>
      </c>
      <c r="BU54" s="277"/>
      <c r="BW54" s="239">
        <f t="shared" si="41"/>
        <v>0</v>
      </c>
      <c r="BX54" s="277"/>
      <c r="BZ54" s="239"/>
      <c r="CA54" s="239"/>
      <c r="CB54" s="239"/>
      <c r="CC54" s="239"/>
      <c r="CD54" s="239"/>
      <c r="CP54" s="239"/>
      <c r="CQ54" s="239"/>
      <c r="CR54" s="239"/>
      <c r="CS54" s="239"/>
      <c r="CT54" s="239"/>
      <c r="CU54" s="239"/>
      <c r="CV54" s="239"/>
      <c r="CX54" s="239"/>
      <c r="EQ54" s="119"/>
      <c r="ER54" s="119"/>
      <c r="ES54" s="119"/>
      <c r="ET54" s="119"/>
      <c r="EU54" s="119"/>
      <c r="EV54" s="119"/>
      <c r="EW54" s="119"/>
      <c r="EX54" s="119"/>
      <c r="EY54" s="119"/>
      <c r="EZ54" s="119"/>
      <c r="FA54" s="119"/>
      <c r="FB54" s="119"/>
    </row>
    <row r="55" spans="2:158" ht="13.5" customHeight="1" x14ac:dyDescent="0.2">
      <c r="B55" s="158" t="str">
        <f t="shared" si="20"/>
        <v>RONALDSON, Jamie</v>
      </c>
      <c r="C55" s="124"/>
      <c r="D55" s="124"/>
      <c r="E55" s="124"/>
      <c r="F55" s="124"/>
      <c r="G55" s="124"/>
      <c r="H55" s="124"/>
      <c r="I55" s="124"/>
      <c r="J55" s="278">
        <f t="shared" si="21"/>
        <v>0</v>
      </c>
      <c r="K55" s="124"/>
      <c r="L55" s="124"/>
      <c r="M55" s="278">
        <f t="shared" si="19"/>
        <v>22</v>
      </c>
      <c r="N55" s="274"/>
      <c r="O55" s="239"/>
      <c r="P55" s="239"/>
      <c r="R55" s="239">
        <f t="shared" si="22"/>
        <v>0</v>
      </c>
      <c r="S55" s="277"/>
      <c r="U55" s="239">
        <f t="shared" si="23"/>
        <v>0</v>
      </c>
      <c r="V55" s="277"/>
      <c r="X55" s="239">
        <f t="shared" si="24"/>
        <v>0</v>
      </c>
      <c r="Y55" s="277"/>
      <c r="AA55" s="239">
        <f t="shared" si="25"/>
        <v>0</v>
      </c>
      <c r="AB55" s="277"/>
      <c r="AD55" s="239">
        <f t="shared" si="26"/>
        <v>0</v>
      </c>
      <c r="AE55" s="277"/>
      <c r="AG55" s="239">
        <f t="shared" si="27"/>
        <v>0</v>
      </c>
      <c r="AH55" s="277"/>
      <c r="AJ55" s="239">
        <f t="shared" si="28"/>
        <v>0</v>
      </c>
      <c r="AK55" s="277"/>
      <c r="AM55" s="239">
        <f t="shared" si="29"/>
        <v>0</v>
      </c>
      <c r="AN55" s="277"/>
      <c r="AP55" s="239">
        <f t="shared" si="30"/>
        <v>0</v>
      </c>
      <c r="AQ55" s="277"/>
      <c r="AS55" s="239">
        <f t="shared" si="31"/>
        <v>0</v>
      </c>
      <c r="AT55" s="277"/>
      <c r="AV55" s="239">
        <f t="shared" si="32"/>
        <v>0</v>
      </c>
      <c r="AW55" s="277"/>
      <c r="AY55" s="239">
        <f t="shared" si="33"/>
        <v>22</v>
      </c>
      <c r="AZ55" s="277"/>
      <c r="BB55" s="239">
        <f t="shared" si="34"/>
        <v>0</v>
      </c>
      <c r="BC55" s="277"/>
      <c r="BE55" s="239">
        <f t="shared" si="35"/>
        <v>0</v>
      </c>
      <c r="BF55" s="277"/>
      <c r="BH55" s="239">
        <f t="shared" si="36"/>
        <v>0</v>
      </c>
      <c r="BI55" s="277"/>
      <c r="BK55" s="239">
        <f t="shared" si="37"/>
        <v>0</v>
      </c>
      <c r="BL55" s="277"/>
      <c r="BN55" s="239">
        <f t="shared" si="38"/>
        <v>0</v>
      </c>
      <c r="BO55" s="277"/>
      <c r="BQ55" s="239">
        <f t="shared" si="39"/>
        <v>0</v>
      </c>
      <c r="BR55" s="277"/>
      <c r="BT55" s="239">
        <f t="shared" si="40"/>
        <v>0</v>
      </c>
      <c r="BU55" s="277"/>
      <c r="BW55" s="239">
        <f t="shared" si="41"/>
        <v>0</v>
      </c>
      <c r="BX55" s="277"/>
      <c r="BZ55" s="239"/>
      <c r="CA55" s="239"/>
      <c r="CB55" s="239"/>
      <c r="CC55" s="239"/>
      <c r="CD55" s="239"/>
      <c r="CP55" s="239"/>
      <c r="CQ55" s="239"/>
      <c r="CR55" s="239"/>
      <c r="CS55" s="239"/>
      <c r="CT55" s="239"/>
      <c r="CU55" s="239"/>
      <c r="CV55" s="239"/>
      <c r="CX55" s="239"/>
      <c r="EQ55" s="119"/>
      <c r="ER55" s="119"/>
      <c r="ES55" s="119"/>
      <c r="ET55" s="119"/>
      <c r="EU55" s="119"/>
      <c r="EV55" s="119"/>
      <c r="EW55" s="119"/>
      <c r="EX55" s="119"/>
      <c r="EY55" s="119"/>
      <c r="EZ55" s="119"/>
      <c r="FA55" s="119"/>
      <c r="FB55" s="119"/>
    </row>
    <row r="56" spans="2:158" ht="13.5" customHeight="1" x14ac:dyDescent="0.2">
      <c r="B56" s="158" t="str">
        <f t="shared" si="20"/>
        <v>THACKER, Nilesh</v>
      </c>
      <c r="C56" s="124"/>
      <c r="D56" s="124"/>
      <c r="E56" s="124"/>
      <c r="F56" s="124"/>
      <c r="G56" s="124"/>
      <c r="H56" s="124"/>
      <c r="I56" s="124"/>
      <c r="J56" s="278">
        <f t="shared" si="21"/>
        <v>0</v>
      </c>
      <c r="K56" s="124"/>
      <c r="L56" s="124"/>
      <c r="M56" s="278">
        <f t="shared" si="19"/>
        <v>21</v>
      </c>
      <c r="N56" s="274"/>
      <c r="O56" s="239"/>
      <c r="P56" s="239"/>
      <c r="R56" s="239">
        <f t="shared" si="22"/>
        <v>0</v>
      </c>
      <c r="S56" s="277"/>
      <c r="U56" s="239">
        <f t="shared" si="23"/>
        <v>0</v>
      </c>
      <c r="V56" s="277"/>
      <c r="X56" s="239">
        <f t="shared" si="24"/>
        <v>0</v>
      </c>
      <c r="Y56" s="277"/>
      <c r="AA56" s="239">
        <f t="shared" si="25"/>
        <v>21</v>
      </c>
      <c r="AB56" s="277"/>
      <c r="AD56" s="239">
        <f t="shared" si="26"/>
        <v>0</v>
      </c>
      <c r="AE56" s="277"/>
      <c r="AG56" s="239">
        <f t="shared" si="27"/>
        <v>0</v>
      </c>
      <c r="AH56" s="277"/>
      <c r="AJ56" s="239">
        <f t="shared" si="28"/>
        <v>0</v>
      </c>
      <c r="AK56" s="277"/>
      <c r="AM56" s="239">
        <f t="shared" si="29"/>
        <v>0</v>
      </c>
      <c r="AN56" s="277"/>
      <c r="AP56" s="239">
        <f t="shared" si="30"/>
        <v>0</v>
      </c>
      <c r="AQ56" s="277"/>
      <c r="AS56" s="239">
        <f t="shared" si="31"/>
        <v>0</v>
      </c>
      <c r="AT56" s="277"/>
      <c r="AV56" s="239">
        <f t="shared" si="32"/>
        <v>0</v>
      </c>
      <c r="AW56" s="277"/>
      <c r="AY56" s="239">
        <f t="shared" si="33"/>
        <v>0</v>
      </c>
      <c r="AZ56" s="277"/>
      <c r="BB56" s="239">
        <f t="shared" si="34"/>
        <v>0</v>
      </c>
      <c r="BC56" s="277"/>
      <c r="BE56" s="239">
        <f t="shared" si="35"/>
        <v>0</v>
      </c>
      <c r="BF56" s="277"/>
      <c r="BH56" s="239">
        <f t="shared" si="36"/>
        <v>0</v>
      </c>
      <c r="BI56" s="277"/>
      <c r="BK56" s="239">
        <f t="shared" si="37"/>
        <v>0</v>
      </c>
      <c r="BL56" s="277"/>
      <c r="BN56" s="239">
        <f t="shared" si="38"/>
        <v>0</v>
      </c>
      <c r="BO56" s="277"/>
      <c r="BQ56" s="239">
        <f t="shared" si="39"/>
        <v>0</v>
      </c>
      <c r="BR56" s="277"/>
      <c r="BT56" s="239">
        <f t="shared" si="40"/>
        <v>0</v>
      </c>
      <c r="BU56" s="277"/>
      <c r="BW56" s="239">
        <f t="shared" si="41"/>
        <v>0</v>
      </c>
      <c r="BX56" s="277"/>
      <c r="BZ56" s="239"/>
      <c r="CA56" s="239"/>
      <c r="CB56" s="239"/>
      <c r="CC56" s="239"/>
      <c r="CD56" s="239"/>
      <c r="CP56" s="239"/>
      <c r="CQ56" s="239"/>
      <c r="CR56" s="239"/>
      <c r="CS56" s="239"/>
      <c r="CT56" s="239"/>
      <c r="CU56" s="239"/>
      <c r="CV56" s="239"/>
      <c r="CX56" s="239"/>
      <c r="EQ56" s="119"/>
      <c r="ER56" s="119"/>
      <c r="ES56" s="119"/>
      <c r="ET56" s="119"/>
      <c r="EU56" s="119"/>
      <c r="EV56" s="119"/>
      <c r="EW56" s="119"/>
      <c r="EX56" s="119"/>
      <c r="EY56" s="119"/>
      <c r="EZ56" s="119"/>
      <c r="FA56" s="119"/>
      <c r="FB56" s="119"/>
    </row>
    <row r="57" spans="2:158" ht="13.5" customHeight="1" x14ac:dyDescent="0.2">
      <c r="B57" s="158" t="str">
        <f t="shared" si="20"/>
        <v>CULLEY, James</v>
      </c>
      <c r="C57" s="124"/>
      <c r="D57" s="124"/>
      <c r="E57" s="124"/>
      <c r="F57" s="124"/>
      <c r="G57" s="124"/>
      <c r="H57" s="124"/>
      <c r="I57" s="124"/>
      <c r="J57" s="278">
        <f t="shared" si="21"/>
        <v>0</v>
      </c>
      <c r="K57" s="124"/>
      <c r="L57" s="124"/>
      <c r="M57" s="278">
        <f t="shared" si="19"/>
        <v>16</v>
      </c>
      <c r="N57" s="274"/>
      <c r="O57" s="239"/>
      <c r="P57" s="239"/>
      <c r="R57" s="239">
        <f t="shared" si="22"/>
        <v>0</v>
      </c>
      <c r="S57" s="277"/>
      <c r="U57" s="239">
        <f t="shared" si="23"/>
        <v>0</v>
      </c>
      <c r="V57" s="277"/>
      <c r="X57" s="239">
        <f t="shared" si="24"/>
        <v>0</v>
      </c>
      <c r="Y57" s="277"/>
      <c r="AA57" s="239">
        <f t="shared" si="25"/>
        <v>0</v>
      </c>
      <c r="AB57" s="277"/>
      <c r="AD57" s="239">
        <f t="shared" si="26"/>
        <v>0</v>
      </c>
      <c r="AE57" s="277"/>
      <c r="AG57" s="239">
        <f t="shared" si="27"/>
        <v>0</v>
      </c>
      <c r="AH57" s="277"/>
      <c r="AJ57" s="239">
        <f t="shared" si="28"/>
        <v>0</v>
      </c>
      <c r="AK57" s="277"/>
      <c r="AM57" s="239">
        <f t="shared" si="29"/>
        <v>0</v>
      </c>
      <c r="AN57" s="277"/>
      <c r="AP57" s="239">
        <f t="shared" si="30"/>
        <v>16</v>
      </c>
      <c r="AQ57" s="277"/>
      <c r="AS57" s="239">
        <f t="shared" si="31"/>
        <v>0</v>
      </c>
      <c r="AT57" s="277"/>
      <c r="AV57" s="239">
        <f t="shared" si="32"/>
        <v>0</v>
      </c>
      <c r="AW57" s="277"/>
      <c r="AY57" s="239">
        <f t="shared" si="33"/>
        <v>0</v>
      </c>
      <c r="AZ57" s="277"/>
      <c r="BB57" s="239">
        <f t="shared" si="34"/>
        <v>0</v>
      </c>
      <c r="BC57" s="277"/>
      <c r="BE57" s="239">
        <f t="shared" si="35"/>
        <v>0</v>
      </c>
      <c r="BF57" s="277"/>
      <c r="BH57" s="239">
        <f t="shared" si="36"/>
        <v>0</v>
      </c>
      <c r="BI57" s="277"/>
      <c r="BK57" s="239">
        <f t="shared" si="37"/>
        <v>0</v>
      </c>
      <c r="BL57" s="277"/>
      <c r="BN57" s="239">
        <f t="shared" si="38"/>
        <v>0</v>
      </c>
      <c r="BO57" s="277"/>
      <c r="BQ57" s="239">
        <f t="shared" si="39"/>
        <v>0</v>
      </c>
      <c r="BR57" s="277"/>
      <c r="BT57" s="239">
        <f t="shared" si="40"/>
        <v>0</v>
      </c>
      <c r="BU57" s="277"/>
      <c r="BW57" s="239">
        <f t="shared" si="41"/>
        <v>0</v>
      </c>
      <c r="BX57" s="277"/>
      <c r="BZ57" s="239"/>
      <c r="CA57" s="239"/>
      <c r="CB57" s="239"/>
      <c r="CC57" s="239"/>
      <c r="CD57" s="239"/>
      <c r="CP57" s="239"/>
      <c r="CQ57" s="239"/>
      <c r="CR57" s="239"/>
      <c r="CS57" s="239"/>
      <c r="CT57" s="239"/>
      <c r="CU57" s="239"/>
      <c r="CV57" s="239"/>
      <c r="CX57" s="239"/>
      <c r="EQ57" s="119"/>
      <c r="ER57" s="119"/>
      <c r="ES57" s="119"/>
      <c r="ET57" s="119"/>
      <c r="EU57" s="119"/>
      <c r="EV57" s="119"/>
      <c r="EW57" s="119"/>
      <c r="EX57" s="119"/>
      <c r="EY57" s="119"/>
      <c r="EZ57" s="119"/>
      <c r="FA57" s="119"/>
      <c r="FB57" s="119"/>
    </row>
    <row r="58" spans="2:158" ht="13.5" customHeight="1" x14ac:dyDescent="0.2">
      <c r="B58" s="158" t="str">
        <f t="shared" si="20"/>
        <v>PHELAN, Jack</v>
      </c>
      <c r="C58" s="124"/>
      <c r="D58" s="124"/>
      <c r="E58" s="124"/>
      <c r="F58" s="124"/>
      <c r="G58" s="124"/>
      <c r="H58" s="124"/>
      <c r="I58" s="124"/>
      <c r="J58" s="278">
        <f t="shared" si="21"/>
        <v>0</v>
      </c>
      <c r="K58" s="124"/>
      <c r="L58" s="124"/>
      <c r="M58" s="278">
        <f t="shared" si="19"/>
        <v>10</v>
      </c>
      <c r="N58" s="274"/>
      <c r="O58" s="239"/>
      <c r="P58" s="239"/>
      <c r="R58" s="239">
        <f t="shared" si="22"/>
        <v>0</v>
      </c>
      <c r="S58" s="277"/>
      <c r="U58" s="239">
        <f t="shared" si="23"/>
        <v>0</v>
      </c>
      <c r="V58" s="277"/>
      <c r="X58" s="239">
        <f t="shared" si="24"/>
        <v>0</v>
      </c>
      <c r="Y58" s="277"/>
      <c r="AA58" s="239">
        <f t="shared" si="25"/>
        <v>8</v>
      </c>
      <c r="AB58" s="277"/>
      <c r="AD58" s="239">
        <f t="shared" si="26"/>
        <v>0</v>
      </c>
      <c r="AE58" s="277"/>
      <c r="AG58" s="239">
        <f t="shared" si="27"/>
        <v>0</v>
      </c>
      <c r="AH58" s="277"/>
      <c r="AJ58" s="239">
        <f t="shared" si="28"/>
        <v>0</v>
      </c>
      <c r="AK58" s="277"/>
      <c r="AM58" s="239">
        <f t="shared" si="29"/>
        <v>5</v>
      </c>
      <c r="AN58" s="277"/>
      <c r="AP58" s="239">
        <f t="shared" si="30"/>
        <v>0</v>
      </c>
      <c r="AQ58" s="277"/>
      <c r="AS58" s="239">
        <f t="shared" si="31"/>
        <v>0</v>
      </c>
      <c r="AT58" s="277"/>
      <c r="AV58" s="239">
        <f t="shared" si="32"/>
        <v>0</v>
      </c>
      <c r="AW58" s="277"/>
      <c r="AY58" s="239">
        <f t="shared" si="33"/>
        <v>-1</v>
      </c>
      <c r="AZ58" s="277"/>
      <c r="BB58" s="239">
        <f t="shared" si="34"/>
        <v>0</v>
      </c>
      <c r="BC58" s="277"/>
      <c r="BE58" s="239">
        <f t="shared" si="35"/>
        <v>0</v>
      </c>
      <c r="BF58" s="277"/>
      <c r="BH58" s="239">
        <f t="shared" si="36"/>
        <v>0</v>
      </c>
      <c r="BI58" s="277"/>
      <c r="BK58" s="239">
        <f t="shared" si="37"/>
        <v>3</v>
      </c>
      <c r="BL58" s="277"/>
      <c r="BN58" s="239">
        <f t="shared" si="38"/>
        <v>0</v>
      </c>
      <c r="BO58" s="277"/>
      <c r="BQ58" s="239">
        <f t="shared" si="39"/>
        <v>-6</v>
      </c>
      <c r="BR58" s="277"/>
      <c r="BT58" s="239">
        <f t="shared" si="40"/>
        <v>1</v>
      </c>
      <c r="BU58" s="277"/>
      <c r="BW58" s="239">
        <f t="shared" si="41"/>
        <v>0</v>
      </c>
      <c r="BX58" s="277"/>
      <c r="BZ58" s="239"/>
      <c r="CA58" s="239"/>
      <c r="CB58" s="239"/>
      <c r="CC58" s="239"/>
      <c r="CD58" s="239"/>
      <c r="CP58" s="239"/>
      <c r="CQ58" s="239"/>
      <c r="CR58" s="239"/>
      <c r="CS58" s="239"/>
      <c r="CT58" s="239"/>
      <c r="CU58" s="239"/>
      <c r="CV58" s="239"/>
      <c r="CX58" s="239"/>
      <c r="EQ58" s="119"/>
      <c r="ER58" s="119"/>
      <c r="ES58" s="119"/>
      <c r="ET58" s="119"/>
      <c r="EU58" s="119"/>
      <c r="EV58" s="119"/>
      <c r="EW58" s="119"/>
      <c r="EX58" s="119"/>
      <c r="EY58" s="119"/>
      <c r="EZ58" s="119"/>
      <c r="FA58" s="119"/>
      <c r="FB58" s="119"/>
    </row>
    <row r="59" spans="2:158" ht="13.5" customHeight="1" x14ac:dyDescent="0.2">
      <c r="B59" s="158" t="str">
        <f>B27</f>
        <v>AHMAD, Danyal</v>
      </c>
      <c r="C59" s="124"/>
      <c r="D59" s="124"/>
      <c r="E59" s="124"/>
      <c r="F59" s="124"/>
      <c r="G59" s="124"/>
      <c r="H59" s="124"/>
      <c r="I59" s="124"/>
      <c r="J59" s="278">
        <f>M27-M59</f>
        <v>0</v>
      </c>
      <c r="K59" s="124"/>
      <c r="L59" s="124"/>
      <c r="M59" s="278">
        <f t="shared" si="19"/>
        <v>5</v>
      </c>
      <c r="N59" s="274"/>
      <c r="O59" s="239"/>
      <c r="P59" s="239"/>
      <c r="R59" s="239">
        <f>IF(AND(R27&gt;0,S27="*"),R27,IF(R27="dnb",0,IF(AND(R27&lt;&gt;"",S27=""),R27-7,0)))</f>
        <v>0</v>
      </c>
      <c r="S59" s="277"/>
      <c r="U59" s="239">
        <f>IF(AND(U27&gt;0,V27="*"),U27,IF(U27="dnb",0,IF(AND(U27&lt;&gt;"",V27=""),U27-7,0)))</f>
        <v>0</v>
      </c>
      <c r="V59" s="277"/>
      <c r="X59" s="239">
        <f>IF(AND(X27&gt;0,Y27="*"),X27,IF(X27="dnb",0,IF(AND(X27&lt;&gt;"",Y27=""),X27-7,0)))</f>
        <v>0</v>
      </c>
      <c r="Y59" s="277"/>
      <c r="AA59" s="239">
        <f>IF(AND(AA27&gt;0,AB27="*"),AA27,IF(AA27="dnb",0,IF(AND(AA27&lt;&gt;"",AB27=""),AA27-7,0)))</f>
        <v>0</v>
      </c>
      <c r="AB59" s="277"/>
      <c r="AD59" s="239">
        <f>IF(AND(AD27&gt;0,AE27="*"),AD27,IF(AD27="dnb",0,IF(AND(AD27&lt;&gt;"",AE27=""),AD27-7,0)))</f>
        <v>0</v>
      </c>
      <c r="AE59" s="277"/>
      <c r="AG59" s="239">
        <f>IF(AND(AG27&gt;0,AH27="*"),AG27,IF(AG27="dnb",0,IF(AND(AG27&lt;&gt;"",AH27=""),AG27-7,0)))</f>
        <v>0</v>
      </c>
      <c r="AH59" s="277"/>
      <c r="AJ59" s="239">
        <f>IF(AND(AJ27&gt;0,AK27="*"),AJ27,IF(AJ27="dnb",0,IF(AND(AJ27&lt;&gt;"",AK27=""),AJ27-7,0)))</f>
        <v>0</v>
      </c>
      <c r="AK59" s="277"/>
      <c r="AM59" s="239">
        <f>IF(AND(AM27&gt;0,AN27="*"),AM27,IF(AM27="dnb",0,IF(AND(AM27&lt;&gt;"",AN27=""),AM27-7,0)))</f>
        <v>0</v>
      </c>
      <c r="AN59" s="277"/>
      <c r="AP59" s="239">
        <f>IF(AND(AP27&gt;0,AQ27="*"),AP27,IF(AP27="dnb",0,IF(AND(AP27&lt;&gt;"",AQ27=""),AP27-7,0)))</f>
        <v>0</v>
      </c>
      <c r="AQ59" s="277"/>
      <c r="AS59" s="239">
        <f>IF(AND(AS27&gt;0,AT27="*"),AS27,IF(AS27="dnb",0,IF(AND(AS27&lt;&gt;"",AT27=""),AS27-7,0)))</f>
        <v>0</v>
      </c>
      <c r="AT59" s="277"/>
      <c r="AV59" s="239">
        <f>IF(AND(AV27&gt;0,AW27="*"),AV27,IF(AV27="dnb",0,IF(AND(AV27&lt;&gt;"",AW27=""),AV27-7,0)))</f>
        <v>5</v>
      </c>
      <c r="AW59" s="277"/>
      <c r="AY59" s="239">
        <f>IF(AND(AY27&gt;0,AZ27="*"),AY27,IF(AY27="dnb",0,IF(AND(AY27&lt;&gt;"",AZ27=""),AY27-7,0)))</f>
        <v>0</v>
      </c>
      <c r="AZ59" s="277"/>
      <c r="BB59" s="239">
        <f>IF(AND(BB27&gt;0,BC27="*"),BB27,IF(BB27="dnb",0,IF(AND(BB27&lt;&gt;"",BC27=""),BB27-7,0)))</f>
        <v>0</v>
      </c>
      <c r="BC59" s="277"/>
      <c r="BE59" s="239">
        <f>IF(AND(BE27&gt;0,BF27="*"),BE27,IF(BE27="dnb",0,IF(AND(BE27&lt;&gt;"",BF27=""),BE27-7,0)))</f>
        <v>0</v>
      </c>
      <c r="BF59" s="277"/>
      <c r="BH59" s="239">
        <f>IF(AND(BH27&gt;0,BI27="*"),BH27,IF(BH27="dnb",0,IF(AND(BH27&lt;&gt;"",BI27=""),BH27-7,0)))</f>
        <v>0</v>
      </c>
      <c r="BI59" s="277"/>
      <c r="BK59" s="239">
        <f>IF(AND(BK27&gt;0,BL27="*"),BK27,IF(BK27="dnb",0,IF(AND(BK27&lt;&gt;"",BL27=""),BK27-7,0)))</f>
        <v>0</v>
      </c>
      <c r="BL59" s="277"/>
      <c r="BN59" s="239">
        <f>IF(AND(BN27&gt;0,BO27="*"),BN27,IF(BN27="dnb",0,IF(AND(BN27&lt;&gt;"",BO27=""),BN27-7,0)))</f>
        <v>0</v>
      </c>
      <c r="BO59" s="277"/>
      <c r="BQ59" s="239">
        <f>IF(AND(BQ27&gt;0,BR27="*"),BQ27,IF(BQ27="dnb",0,IF(AND(BQ27&lt;&gt;"",BR27=""),BQ27-7,0)))</f>
        <v>0</v>
      </c>
      <c r="BR59" s="277"/>
      <c r="BT59" s="239">
        <f>IF(AND(BT27&gt;0,BU27="*"),BT27,IF(BT27="dnb",0,IF(AND(BT27&lt;&gt;"",BU27=""),BT27-7,0)))</f>
        <v>0</v>
      </c>
      <c r="BU59" s="277"/>
      <c r="BW59" s="239">
        <f>IF(AND(BW27&gt;0,BX27="*"),BW27,IF(BW27="dnb",0,IF(AND(BW27&lt;&gt;"",BX27=""),BW27-7,0)))</f>
        <v>0</v>
      </c>
      <c r="BX59" s="277"/>
      <c r="BZ59" s="239"/>
      <c r="CA59" s="239"/>
      <c r="CB59" s="239"/>
      <c r="CC59" s="239"/>
      <c r="CD59" s="239"/>
      <c r="CP59" s="239"/>
      <c r="CQ59" s="239"/>
      <c r="CR59" s="239"/>
      <c r="CS59" s="239"/>
      <c r="CT59" s="239"/>
      <c r="CU59" s="239"/>
      <c r="CV59" s="239"/>
      <c r="CX59" s="239"/>
      <c r="EQ59" s="119"/>
      <c r="ER59" s="119"/>
      <c r="ES59" s="119"/>
      <c r="ET59" s="119"/>
      <c r="EU59" s="119"/>
      <c r="EV59" s="119"/>
      <c r="EW59" s="119"/>
      <c r="EX59" s="119"/>
      <c r="EY59" s="119"/>
      <c r="EZ59" s="119"/>
      <c r="FA59" s="119"/>
      <c r="FB59" s="119"/>
    </row>
    <row r="60" spans="2:158" ht="13.5" customHeight="1" x14ac:dyDescent="0.2">
      <c r="B60" s="158" t="str">
        <f>B26</f>
        <v>KANTH, Kiso</v>
      </c>
      <c r="C60" s="124"/>
      <c r="D60" s="124"/>
      <c r="E60" s="124"/>
      <c r="F60" s="124"/>
      <c r="G60" s="124"/>
      <c r="H60" s="124"/>
      <c r="I60" s="124"/>
      <c r="J60" s="278">
        <f>M26-M60</f>
        <v>0</v>
      </c>
      <c r="K60" s="124"/>
      <c r="L60" s="124"/>
      <c r="M60" s="278">
        <f t="shared" si="19"/>
        <v>9</v>
      </c>
      <c r="N60" s="274"/>
      <c r="O60" s="239"/>
      <c r="P60" s="239"/>
      <c r="R60" s="239">
        <f>IF(AND(R26&gt;0,S26="*"),R26,IF(R26="dnb",0,IF(AND(R26&lt;&gt;"",S26=""),R26-7,0)))</f>
        <v>0</v>
      </c>
      <c r="S60" s="277"/>
      <c r="U60" s="239">
        <f>IF(AND(U26&gt;0,V26="*"),U26,IF(U26="dnb",0,IF(AND(U26&lt;&gt;"",V26=""),U26-7,0)))</f>
        <v>0</v>
      </c>
      <c r="V60" s="277"/>
      <c r="X60" s="239">
        <f>IF(AND(X26&gt;0,Y26="*"),X26,IF(X26="dnb",0,IF(AND(X26&lt;&gt;"",Y26=""),X26-7,0)))</f>
        <v>0</v>
      </c>
      <c r="Y60" s="277"/>
      <c r="AA60" s="239">
        <f>IF(AND(AA26&gt;0,AB26="*"),AA26,IF(AA26="dnb",0,IF(AND(AA26&lt;&gt;"",AB26=""),AA26-7,0)))</f>
        <v>0</v>
      </c>
      <c r="AB60" s="277"/>
      <c r="AD60" s="239">
        <f>IF(AND(AD26&gt;0,AE26="*"),AD26,IF(AD26="dnb",0,IF(AND(AD26&lt;&gt;"",AE26=""),AD26-7,0)))</f>
        <v>0</v>
      </c>
      <c r="AE60" s="277"/>
      <c r="AG60" s="239">
        <f>IF(AND(AG26&gt;0,AH26="*"),AG26,IF(AG26="dnb",0,IF(AND(AG26&lt;&gt;"",AH26=""),AG26-7,0)))</f>
        <v>0</v>
      </c>
      <c r="AH60" s="277"/>
      <c r="AJ60" s="239">
        <f>IF(AND(AJ26&gt;0,AK26="*"),AJ26,IF(AJ26="dnb",0,IF(AND(AJ26&lt;&gt;"",AK26=""),AJ26-7,0)))</f>
        <v>16</v>
      </c>
      <c r="AK60" s="277"/>
      <c r="AM60" s="239">
        <f>IF(AND(AM26&gt;0,AN26="*"),AM26,IF(AM26="dnb",0,IF(AND(AM26&lt;&gt;"",AN26=""),AM26-7,0)))</f>
        <v>-7</v>
      </c>
      <c r="AN60" s="277"/>
      <c r="AP60" s="239">
        <f>IF(AND(AP26&gt;0,AQ26="*"),AP26,IF(AP26="dnb",0,IF(AND(AP26&lt;&gt;"",AQ26=""),AP26-7,0)))</f>
        <v>0</v>
      </c>
      <c r="AQ60" s="277"/>
      <c r="AS60" s="239">
        <f>IF(AND(AS26&gt;0,AT26="*"),AS26,IF(AS26="dnb",0,IF(AND(AS26&lt;&gt;"",AT26=""),AS26-7,0)))</f>
        <v>0</v>
      </c>
      <c r="AT60" s="277"/>
      <c r="AV60" s="239">
        <f>IF(AND(AV26&gt;0,AW26="*"),AV26,IF(AV26="dnb",0,IF(AND(AV26&lt;&gt;"",AW26=""),AV26-7,0)))</f>
        <v>0</v>
      </c>
      <c r="AW60" s="277"/>
      <c r="AY60" s="239">
        <f>IF(AND(AY26&gt;0,AZ26="*"),AY26,IF(AY26="dnb",0,IF(AND(AY26&lt;&gt;"",AZ26=""),AY26-7,0)))</f>
        <v>0</v>
      </c>
      <c r="AZ60" s="277"/>
      <c r="BB60" s="239">
        <f>IF(AND(BB26&gt;0,BC26="*"),BB26,IF(BB26="dnb",0,IF(AND(BB26&lt;&gt;"",BC26=""),BB26-7,0)))</f>
        <v>0</v>
      </c>
      <c r="BC60" s="277"/>
      <c r="BE60" s="239">
        <f>IF(AND(BE26&gt;0,BF26="*"),BE26,IF(BE26="dnb",0,IF(AND(BE26&lt;&gt;"",BF26=""),BE26-7,0)))</f>
        <v>0</v>
      </c>
      <c r="BF60" s="277"/>
      <c r="BH60" s="239">
        <f>IF(AND(BH26&gt;0,BI26="*"),BH26,IF(BH26="dnb",0,IF(AND(BH26&lt;&gt;"",BI26=""),BH26-7,0)))</f>
        <v>0</v>
      </c>
      <c r="BI60" s="277"/>
      <c r="BK60" s="239">
        <f>IF(AND(BK26&gt;0,BL26="*"),BK26,IF(BK26="dnb",0,IF(AND(BK26&lt;&gt;"",BL26=""),BK26-7,0)))</f>
        <v>0</v>
      </c>
      <c r="BL60" s="277"/>
      <c r="BN60" s="239">
        <f>IF(AND(BN26&gt;0,BO26="*"),BN26,IF(BN26="dnb",0,IF(AND(BN26&lt;&gt;"",BO26=""),BN26-7,0)))</f>
        <v>0</v>
      </c>
      <c r="BO60" s="277"/>
      <c r="BQ60" s="239">
        <f>IF(AND(BQ26&gt;0,BR26="*"),BQ26,IF(BQ26="dnb",0,IF(AND(BQ26&lt;&gt;"",BR26=""),BQ26-7,0)))</f>
        <v>0</v>
      </c>
      <c r="BR60" s="277"/>
      <c r="BT60" s="239">
        <f>IF(AND(BT26&gt;0,BU26="*"),BT26,IF(BT26="dnb",0,IF(AND(BT26&lt;&gt;"",BU26=""),BT26-7,0)))</f>
        <v>0</v>
      </c>
      <c r="BU60" s="277"/>
      <c r="BW60" s="239">
        <f>IF(AND(BW26&gt;0,BX26="*"),BW26,IF(BW26="dnb",0,IF(AND(BW26&lt;&gt;"",BX26=""),BW26-7,0)))</f>
        <v>0</v>
      </c>
      <c r="BX60" s="277"/>
      <c r="BZ60" s="239"/>
      <c r="CA60" s="239"/>
      <c r="CB60" s="239"/>
      <c r="CC60" s="239"/>
      <c r="CD60" s="239"/>
      <c r="CP60" s="239"/>
      <c r="CQ60" s="239"/>
      <c r="CR60" s="239"/>
      <c r="CS60" s="239"/>
      <c r="CT60" s="239"/>
      <c r="CU60" s="239"/>
      <c r="CV60" s="239"/>
      <c r="CX60" s="239"/>
      <c r="EQ60" s="119"/>
      <c r="ER60" s="119"/>
      <c r="ES60" s="119"/>
      <c r="ET60" s="119"/>
      <c r="EU60" s="119"/>
      <c r="EV60" s="119"/>
      <c r="EW60" s="119"/>
      <c r="EX60" s="119"/>
      <c r="EY60" s="119"/>
      <c r="EZ60" s="119"/>
      <c r="FA60" s="119"/>
      <c r="FB60" s="119"/>
    </row>
    <row r="61" spans="2:158" ht="13.5" customHeight="1" x14ac:dyDescent="0.2">
      <c r="B61" s="158" t="str">
        <f t="shared" ref="B61:B69" si="42">B28</f>
        <v>DALE, Colin</v>
      </c>
      <c r="C61" s="124"/>
      <c r="D61" s="124"/>
      <c r="E61" s="124"/>
      <c r="F61" s="124"/>
      <c r="G61" s="124"/>
      <c r="H61" s="124"/>
      <c r="I61" s="124"/>
      <c r="J61" s="278">
        <f t="shared" ref="J61:J69" si="43">M28-M61</f>
        <v>0</v>
      </c>
      <c r="K61" s="124"/>
      <c r="L61" s="124"/>
      <c r="M61" s="278">
        <f t="shared" si="19"/>
        <v>4</v>
      </c>
      <c r="N61" s="274"/>
      <c r="O61" s="239"/>
      <c r="P61" s="239"/>
      <c r="R61" s="239">
        <f t="shared" ref="R61:R69" si="44">IF(AND(R28&gt;0,S28="*"),R28,IF(R28="dnb",0,IF(AND(R28&lt;&gt;"",S28=""),R28-7,0)))</f>
        <v>0</v>
      </c>
      <c r="S61" s="277"/>
      <c r="U61" s="239">
        <f t="shared" ref="U61:U69" si="45">IF(AND(U28&gt;0,V28="*"),U28,IF(U28="dnb",0,IF(AND(U28&lt;&gt;"",V28=""),U28-7,0)))</f>
        <v>0</v>
      </c>
      <c r="V61" s="277"/>
      <c r="X61" s="239">
        <f t="shared" ref="X61:X69" si="46">IF(AND(X28&gt;0,Y28="*"),X28,IF(X28="dnb",0,IF(AND(X28&lt;&gt;"",Y28=""),X28-7,0)))</f>
        <v>0</v>
      </c>
      <c r="Y61" s="277"/>
      <c r="AA61" s="239">
        <f t="shared" ref="AA61:AA69" si="47">IF(AND(AA28&gt;0,AB28="*"),AA28,IF(AA28="dnb",0,IF(AND(AA28&lt;&gt;"",AB28=""),AA28-7,0)))</f>
        <v>0</v>
      </c>
      <c r="AB61" s="277"/>
      <c r="AD61" s="239">
        <f t="shared" ref="AD61:AD69" si="48">IF(AND(AD28&gt;0,AE28="*"),AD28,IF(AD28="dnb",0,IF(AND(AD28&lt;&gt;"",AE28=""),AD28-7,0)))</f>
        <v>0</v>
      </c>
      <c r="AE61" s="277"/>
      <c r="AG61" s="239">
        <f t="shared" ref="AG61:AG69" si="49">IF(AND(AG28&gt;0,AH28="*"),AG28,IF(AG28="dnb",0,IF(AND(AG28&lt;&gt;"",AH28=""),AG28-7,0)))</f>
        <v>0</v>
      </c>
      <c r="AH61" s="277"/>
      <c r="AJ61" s="239">
        <f t="shared" ref="AJ61:AJ69" si="50">IF(AND(AJ28&gt;0,AK28="*"),AJ28,IF(AJ28="dnb",0,IF(AND(AJ28&lt;&gt;"",AK28=""),AJ28-7,0)))</f>
        <v>0</v>
      </c>
      <c r="AK61" s="277"/>
      <c r="AM61" s="239">
        <f t="shared" ref="AM61:AM69" si="51">IF(AND(AM28&gt;0,AN28="*"),AM28,IF(AM28="dnb",0,IF(AND(AM28&lt;&gt;"",AN28=""),AM28-7,0)))</f>
        <v>0</v>
      </c>
      <c r="AN61" s="277"/>
      <c r="AP61" s="239">
        <f t="shared" ref="AP61:AP69" si="52">IF(AND(AP28&gt;0,AQ28="*"),AP28,IF(AP28="dnb",0,IF(AND(AP28&lt;&gt;"",AQ28=""),AP28-7,0)))</f>
        <v>4</v>
      </c>
      <c r="AQ61" s="277"/>
      <c r="AS61" s="239">
        <f t="shared" ref="AS61:AS69" si="53">IF(AND(AS28&gt;0,AT28="*"),AS28,IF(AS28="dnb",0,IF(AND(AS28&lt;&gt;"",AT28=""),AS28-7,0)))</f>
        <v>0</v>
      </c>
      <c r="AT61" s="277"/>
      <c r="AV61" s="239">
        <f t="shared" ref="AV61:AV69" si="54">IF(AND(AV28&gt;0,AW28="*"),AV28,IF(AV28="dnb",0,IF(AND(AV28&lt;&gt;"",AW28=""),AV28-7,0)))</f>
        <v>0</v>
      </c>
      <c r="AW61" s="277"/>
      <c r="AY61" s="239">
        <f t="shared" ref="AY61:AY69" si="55">IF(AND(AY28&gt;0,AZ28="*"),AY28,IF(AY28="dnb",0,IF(AND(AY28&lt;&gt;"",AZ28=""),AY28-7,0)))</f>
        <v>0</v>
      </c>
      <c r="AZ61" s="277"/>
      <c r="BB61" s="239">
        <f t="shared" ref="BB61:BB69" si="56">IF(AND(BB28&gt;0,BC28="*"),BB28,IF(BB28="dnb",0,IF(AND(BB28&lt;&gt;"",BC28=""),BB28-7,0)))</f>
        <v>0</v>
      </c>
      <c r="BC61" s="277"/>
      <c r="BE61" s="239">
        <f t="shared" ref="BE61:BE69" si="57">IF(AND(BE28&gt;0,BF28="*"),BE28,IF(BE28="dnb",0,IF(AND(BE28&lt;&gt;"",BF28=""),BE28-7,0)))</f>
        <v>0</v>
      </c>
      <c r="BF61" s="277"/>
      <c r="BH61" s="239">
        <f t="shared" ref="BH61:BH69" si="58">IF(AND(BH28&gt;0,BI28="*"),BH28,IF(BH28="dnb",0,IF(AND(BH28&lt;&gt;"",BI28=""),BH28-7,0)))</f>
        <v>0</v>
      </c>
      <c r="BI61" s="277"/>
      <c r="BK61" s="239">
        <f t="shared" ref="BK61:BK69" si="59">IF(AND(BK28&gt;0,BL28="*"),BK28,IF(BK28="dnb",0,IF(AND(BK28&lt;&gt;"",BL28=""),BK28-7,0)))</f>
        <v>0</v>
      </c>
      <c r="BL61" s="277"/>
      <c r="BN61" s="239">
        <f t="shared" ref="BN61:BN69" si="60">IF(AND(BN28&gt;0,BO28="*"),BN28,IF(BN28="dnb",0,IF(AND(BN28&lt;&gt;"",BO28=""),BN28-7,0)))</f>
        <v>0</v>
      </c>
      <c r="BO61" s="277"/>
      <c r="BQ61" s="239">
        <f t="shared" ref="BQ61:BQ69" si="61">IF(AND(BQ28&gt;0,BR28="*"),BQ28,IF(BQ28="dnb",0,IF(AND(BQ28&lt;&gt;"",BR28=""),BQ28-7,0)))</f>
        <v>0</v>
      </c>
      <c r="BR61" s="277"/>
      <c r="BT61" s="239">
        <f t="shared" ref="BT61:BT69" si="62">IF(AND(BT28&gt;0,BU28="*"),BT28,IF(BT28="dnb",0,IF(AND(BT28&lt;&gt;"",BU28=""),BT28-7,0)))</f>
        <v>0</v>
      </c>
      <c r="BU61" s="277"/>
      <c r="BW61" s="239">
        <f t="shared" ref="BW61:BW69" si="63">IF(AND(BW28&gt;0,BX28="*"),BW28,IF(BW28="dnb",0,IF(AND(BW28&lt;&gt;"",BX28=""),BW28-7,0)))</f>
        <v>0</v>
      </c>
      <c r="BX61" s="277"/>
      <c r="BZ61" s="239"/>
      <c r="CA61" s="239"/>
      <c r="CB61" s="239"/>
      <c r="CC61" s="239"/>
      <c r="CD61" s="239"/>
      <c r="CP61" s="239"/>
      <c r="CQ61" s="239"/>
      <c r="CR61" s="239"/>
      <c r="CS61" s="239"/>
      <c r="CT61" s="239"/>
      <c r="CU61" s="239"/>
      <c r="CV61" s="239"/>
      <c r="CX61" s="239"/>
      <c r="EQ61" s="119"/>
      <c r="ER61" s="119"/>
      <c r="ES61" s="119"/>
      <c r="ET61" s="119"/>
      <c r="EU61" s="119"/>
      <c r="EV61" s="119"/>
      <c r="EW61" s="119"/>
      <c r="EX61" s="119"/>
      <c r="EY61" s="119"/>
      <c r="EZ61" s="119"/>
      <c r="FA61" s="119"/>
      <c r="FB61" s="119"/>
    </row>
    <row r="62" spans="2:158" ht="13.5" customHeight="1" x14ac:dyDescent="0.2">
      <c r="B62" s="158" t="str">
        <f t="shared" si="42"/>
        <v>FORD, Terrence</v>
      </c>
      <c r="C62" s="124"/>
      <c r="D62" s="124"/>
      <c r="E62" s="124"/>
      <c r="F62" s="124"/>
      <c r="G62" s="124"/>
      <c r="H62" s="124"/>
      <c r="I62" s="124"/>
      <c r="J62" s="278">
        <f t="shared" si="43"/>
        <v>0</v>
      </c>
      <c r="K62" s="124"/>
      <c r="L62" s="124"/>
      <c r="M62" s="278">
        <f t="shared" si="19"/>
        <v>2</v>
      </c>
      <c r="N62" s="274"/>
      <c r="O62" s="239"/>
      <c r="P62" s="239"/>
      <c r="R62" s="239">
        <f t="shared" si="44"/>
        <v>0</v>
      </c>
      <c r="S62" s="277"/>
      <c r="U62" s="239">
        <f t="shared" si="45"/>
        <v>0</v>
      </c>
      <c r="V62" s="277"/>
      <c r="X62" s="239">
        <f t="shared" si="46"/>
        <v>0</v>
      </c>
      <c r="Y62" s="277"/>
      <c r="AA62" s="239">
        <f t="shared" si="47"/>
        <v>0</v>
      </c>
      <c r="AB62" s="277"/>
      <c r="AD62" s="239">
        <f t="shared" si="48"/>
        <v>0</v>
      </c>
      <c r="AE62" s="277"/>
      <c r="AG62" s="239">
        <f t="shared" si="49"/>
        <v>0</v>
      </c>
      <c r="AH62" s="277"/>
      <c r="AJ62" s="239">
        <f t="shared" si="50"/>
        <v>0</v>
      </c>
      <c r="AK62" s="277"/>
      <c r="AM62" s="239">
        <f t="shared" si="51"/>
        <v>0</v>
      </c>
      <c r="AN62" s="277"/>
      <c r="AP62" s="239">
        <f t="shared" si="52"/>
        <v>0</v>
      </c>
      <c r="AQ62" s="277"/>
      <c r="AS62" s="239">
        <f t="shared" si="53"/>
        <v>0</v>
      </c>
      <c r="AT62" s="277"/>
      <c r="AV62" s="239">
        <f t="shared" si="54"/>
        <v>0</v>
      </c>
      <c r="AW62" s="277"/>
      <c r="AY62" s="239">
        <f t="shared" si="55"/>
        <v>0</v>
      </c>
      <c r="AZ62" s="277"/>
      <c r="BB62" s="239">
        <f t="shared" si="56"/>
        <v>0</v>
      </c>
      <c r="BC62" s="277"/>
      <c r="BE62" s="239">
        <f t="shared" si="57"/>
        <v>2</v>
      </c>
      <c r="BF62" s="277"/>
      <c r="BH62" s="239">
        <f t="shared" si="58"/>
        <v>0</v>
      </c>
      <c r="BI62" s="277"/>
      <c r="BK62" s="239">
        <f t="shared" si="59"/>
        <v>0</v>
      </c>
      <c r="BL62" s="277"/>
      <c r="BN62" s="239">
        <f t="shared" si="60"/>
        <v>0</v>
      </c>
      <c r="BO62" s="277"/>
      <c r="BQ62" s="239">
        <f t="shared" si="61"/>
        <v>0</v>
      </c>
      <c r="BR62" s="277"/>
      <c r="BT62" s="239">
        <f t="shared" si="62"/>
        <v>0</v>
      </c>
      <c r="BU62" s="277"/>
      <c r="BW62" s="239">
        <f t="shared" si="63"/>
        <v>0</v>
      </c>
      <c r="BX62" s="277"/>
      <c r="BZ62" s="239"/>
      <c r="CA62" s="239"/>
      <c r="CB62" s="239"/>
      <c r="CC62" s="239"/>
      <c r="CD62" s="239"/>
      <c r="CP62" s="239"/>
      <c r="CQ62" s="239"/>
      <c r="CR62" s="239"/>
      <c r="CS62" s="239"/>
      <c r="CT62" s="239"/>
      <c r="CU62" s="239"/>
      <c r="CV62" s="239"/>
      <c r="CX62" s="239"/>
      <c r="EQ62" s="119"/>
      <c r="ER62" s="119"/>
      <c r="ES62" s="119"/>
      <c r="ET62" s="119"/>
      <c r="EU62" s="119"/>
      <c r="EV62" s="119"/>
      <c r="EW62" s="119"/>
      <c r="EX62" s="119"/>
      <c r="EY62" s="119"/>
      <c r="EZ62" s="119"/>
      <c r="FA62" s="119"/>
      <c r="FB62" s="119"/>
    </row>
    <row r="63" spans="2:158" ht="13.5" customHeight="1" x14ac:dyDescent="0.2">
      <c r="B63" s="158" t="str">
        <f t="shared" si="42"/>
        <v>TAMBLING, Damian</v>
      </c>
      <c r="C63" s="124"/>
      <c r="D63" s="124"/>
      <c r="E63" s="124"/>
      <c r="F63" s="124"/>
      <c r="G63" s="124"/>
      <c r="H63" s="124"/>
      <c r="I63" s="124"/>
      <c r="J63" s="278">
        <f t="shared" si="43"/>
        <v>0</v>
      </c>
      <c r="K63" s="124"/>
      <c r="L63" s="124"/>
      <c r="M63" s="278">
        <f t="shared" si="19"/>
        <v>1</v>
      </c>
      <c r="N63" s="274"/>
      <c r="O63" s="239"/>
      <c r="P63" s="239"/>
      <c r="R63" s="239">
        <f t="shared" si="44"/>
        <v>0</v>
      </c>
      <c r="S63" s="277"/>
      <c r="U63" s="239">
        <f t="shared" si="45"/>
        <v>0</v>
      </c>
      <c r="V63" s="277"/>
      <c r="X63" s="239">
        <f t="shared" si="46"/>
        <v>0</v>
      </c>
      <c r="Y63" s="277"/>
      <c r="AA63" s="239">
        <f t="shared" si="47"/>
        <v>0</v>
      </c>
      <c r="AB63" s="277"/>
      <c r="AD63" s="239">
        <f t="shared" si="48"/>
        <v>-7</v>
      </c>
      <c r="AE63" s="277"/>
      <c r="AG63" s="239">
        <f t="shared" si="49"/>
        <v>0</v>
      </c>
      <c r="AH63" s="277"/>
      <c r="AJ63" s="239">
        <f t="shared" si="50"/>
        <v>0</v>
      </c>
      <c r="AK63" s="277"/>
      <c r="AM63" s="239">
        <f t="shared" si="51"/>
        <v>0</v>
      </c>
      <c r="AN63" s="277"/>
      <c r="AP63" s="239">
        <f t="shared" si="52"/>
        <v>0</v>
      </c>
      <c r="AQ63" s="277"/>
      <c r="AS63" s="239">
        <f t="shared" si="53"/>
        <v>8</v>
      </c>
      <c r="AT63" s="277"/>
      <c r="AV63" s="239">
        <f t="shared" si="54"/>
        <v>0</v>
      </c>
      <c r="AW63" s="277"/>
      <c r="AY63" s="239">
        <f t="shared" si="55"/>
        <v>0</v>
      </c>
      <c r="AZ63" s="277"/>
      <c r="BB63" s="239">
        <f t="shared" si="56"/>
        <v>0</v>
      </c>
      <c r="BC63" s="277"/>
      <c r="BE63" s="239">
        <f t="shared" si="57"/>
        <v>0</v>
      </c>
      <c r="BF63" s="277"/>
      <c r="BH63" s="239">
        <f t="shared" si="58"/>
        <v>0</v>
      </c>
      <c r="BI63" s="277"/>
      <c r="BK63" s="239">
        <f t="shared" si="59"/>
        <v>0</v>
      </c>
      <c r="BL63" s="277"/>
      <c r="BN63" s="239">
        <f t="shared" si="60"/>
        <v>0</v>
      </c>
      <c r="BO63" s="277"/>
      <c r="BQ63" s="239">
        <f t="shared" si="61"/>
        <v>0</v>
      </c>
      <c r="BR63" s="277"/>
      <c r="BT63" s="239">
        <f t="shared" si="62"/>
        <v>0</v>
      </c>
      <c r="BU63" s="277"/>
      <c r="BW63" s="239">
        <f t="shared" si="63"/>
        <v>0</v>
      </c>
      <c r="BX63" s="277"/>
      <c r="BZ63" s="239"/>
      <c r="CA63" s="239"/>
      <c r="CB63" s="239"/>
      <c r="CC63" s="239"/>
      <c r="CD63" s="239"/>
      <c r="CP63" s="239"/>
      <c r="CQ63" s="239"/>
      <c r="CR63" s="239"/>
      <c r="CS63" s="239"/>
      <c r="CT63" s="239"/>
      <c r="CU63" s="239"/>
      <c r="CV63" s="239"/>
      <c r="CX63" s="239"/>
      <c r="EQ63" s="119"/>
      <c r="ER63" s="119"/>
      <c r="ES63" s="119"/>
      <c r="ET63" s="119"/>
      <c r="EU63" s="119"/>
      <c r="EV63" s="119"/>
      <c r="EW63" s="119"/>
      <c r="EX63" s="119"/>
      <c r="EY63" s="119"/>
      <c r="EZ63" s="119"/>
      <c r="FA63" s="119"/>
      <c r="FB63" s="119"/>
    </row>
    <row r="64" spans="2:158" ht="13.5" customHeight="1" x14ac:dyDescent="0.2">
      <c r="B64" s="158" t="str">
        <f t="shared" si="42"/>
        <v>BALDEN, Bruce</v>
      </c>
      <c r="C64" s="124"/>
      <c r="D64" s="124"/>
      <c r="E64" s="124"/>
      <c r="F64" s="124"/>
      <c r="G64" s="124"/>
      <c r="H64" s="124"/>
      <c r="I64" s="124"/>
      <c r="J64" s="278">
        <f t="shared" si="43"/>
        <v>0</v>
      </c>
      <c r="K64" s="124"/>
      <c r="L64" s="124"/>
      <c r="M64" s="278">
        <f t="shared" si="19"/>
        <v>0</v>
      </c>
      <c r="N64" s="274"/>
      <c r="O64" s="239"/>
      <c r="P64" s="239"/>
      <c r="R64" s="239">
        <f t="shared" si="44"/>
        <v>0</v>
      </c>
      <c r="S64" s="277"/>
      <c r="U64" s="239">
        <f t="shared" si="45"/>
        <v>0</v>
      </c>
      <c r="V64" s="277"/>
      <c r="X64" s="239">
        <f t="shared" si="46"/>
        <v>0</v>
      </c>
      <c r="Y64" s="277"/>
      <c r="AA64" s="239">
        <f t="shared" si="47"/>
        <v>0</v>
      </c>
      <c r="AB64" s="277"/>
      <c r="AD64" s="239">
        <f t="shared" si="48"/>
        <v>0</v>
      </c>
      <c r="AE64" s="277"/>
      <c r="AG64" s="239">
        <f t="shared" si="49"/>
        <v>0</v>
      </c>
      <c r="AH64" s="277"/>
      <c r="AJ64" s="239">
        <f t="shared" si="50"/>
        <v>0</v>
      </c>
      <c r="AK64" s="277"/>
      <c r="AM64" s="239">
        <f t="shared" si="51"/>
        <v>0</v>
      </c>
      <c r="AN64" s="277"/>
      <c r="AP64" s="239">
        <f t="shared" si="52"/>
        <v>0</v>
      </c>
      <c r="AQ64" s="277"/>
      <c r="AS64" s="239">
        <f t="shared" si="53"/>
        <v>0</v>
      </c>
      <c r="AT64" s="277"/>
      <c r="AV64" s="239">
        <f t="shared" si="54"/>
        <v>0</v>
      </c>
      <c r="AW64" s="277"/>
      <c r="AY64" s="239">
        <f t="shared" si="55"/>
        <v>0</v>
      </c>
      <c r="AZ64" s="277"/>
      <c r="BB64" s="239">
        <f t="shared" si="56"/>
        <v>0</v>
      </c>
      <c r="BC64" s="277"/>
      <c r="BE64" s="239">
        <f t="shared" si="57"/>
        <v>0</v>
      </c>
      <c r="BF64" s="277"/>
      <c r="BH64" s="239">
        <f t="shared" si="58"/>
        <v>0</v>
      </c>
      <c r="BI64" s="277"/>
      <c r="BK64" s="239">
        <f t="shared" si="59"/>
        <v>0</v>
      </c>
      <c r="BL64" s="277"/>
      <c r="BN64" s="239">
        <f t="shared" si="60"/>
        <v>0</v>
      </c>
      <c r="BO64" s="277"/>
      <c r="BQ64" s="239">
        <f t="shared" si="61"/>
        <v>0</v>
      </c>
      <c r="BR64" s="277"/>
      <c r="BT64" s="239">
        <f t="shared" si="62"/>
        <v>0</v>
      </c>
      <c r="BU64" s="277"/>
      <c r="BW64" s="239">
        <f t="shared" si="63"/>
        <v>0</v>
      </c>
      <c r="BX64" s="277"/>
      <c r="BZ64" s="239"/>
      <c r="CA64" s="239"/>
      <c r="CB64" s="239"/>
      <c r="CC64" s="239"/>
      <c r="CD64" s="239"/>
      <c r="CP64" s="239"/>
      <c r="CQ64" s="239"/>
      <c r="CR64" s="239"/>
      <c r="CS64" s="239"/>
      <c r="CT64" s="239"/>
      <c r="CU64" s="239"/>
      <c r="CV64" s="239"/>
      <c r="CX64" s="239"/>
      <c r="EQ64" s="119"/>
      <c r="ER64" s="119"/>
      <c r="ES64" s="119"/>
      <c r="ET64" s="119"/>
      <c r="EU64" s="119"/>
      <c r="EV64" s="119"/>
      <c r="EW64" s="119"/>
      <c r="EX64" s="119"/>
      <c r="EY64" s="119"/>
      <c r="EZ64" s="119"/>
      <c r="FA64" s="119"/>
      <c r="FB64" s="119"/>
    </row>
    <row r="65" spans="2:162" ht="13.5" customHeight="1" x14ac:dyDescent="0.2">
      <c r="B65" s="158" t="str">
        <f t="shared" si="42"/>
        <v>GREENING, Ed</v>
      </c>
      <c r="C65" s="124"/>
      <c r="D65" s="124"/>
      <c r="E65" s="124"/>
      <c r="F65" s="124"/>
      <c r="G65" s="124"/>
      <c r="H65" s="124"/>
      <c r="I65" s="124"/>
      <c r="J65" s="278">
        <f t="shared" si="43"/>
        <v>0</v>
      </c>
      <c r="K65" s="124"/>
      <c r="L65" s="124"/>
      <c r="M65" s="278">
        <f t="shared" si="19"/>
        <v>0</v>
      </c>
      <c r="N65" s="274"/>
      <c r="O65" s="239"/>
      <c r="P65" s="239"/>
      <c r="R65" s="239">
        <f t="shared" si="44"/>
        <v>0</v>
      </c>
      <c r="S65" s="277"/>
      <c r="U65" s="239">
        <f t="shared" si="45"/>
        <v>0</v>
      </c>
      <c r="V65" s="277"/>
      <c r="X65" s="239">
        <f t="shared" si="46"/>
        <v>0</v>
      </c>
      <c r="Y65" s="277"/>
      <c r="AA65" s="239">
        <f t="shared" si="47"/>
        <v>0</v>
      </c>
      <c r="AB65" s="277"/>
      <c r="AD65" s="239">
        <f t="shared" si="48"/>
        <v>0</v>
      </c>
      <c r="AE65" s="277"/>
      <c r="AG65" s="239">
        <f t="shared" si="49"/>
        <v>0</v>
      </c>
      <c r="AH65" s="277"/>
      <c r="AJ65" s="239">
        <f t="shared" si="50"/>
        <v>0</v>
      </c>
      <c r="AK65" s="277"/>
      <c r="AM65" s="239">
        <f t="shared" si="51"/>
        <v>0</v>
      </c>
      <c r="AN65" s="277"/>
      <c r="AP65" s="239">
        <f t="shared" si="52"/>
        <v>0</v>
      </c>
      <c r="AQ65" s="277"/>
      <c r="AS65" s="239">
        <f t="shared" si="53"/>
        <v>0</v>
      </c>
      <c r="AT65" s="277"/>
      <c r="AV65" s="239">
        <f t="shared" si="54"/>
        <v>0</v>
      </c>
      <c r="AW65" s="277"/>
      <c r="AY65" s="239">
        <f t="shared" si="55"/>
        <v>0</v>
      </c>
      <c r="AZ65" s="277"/>
      <c r="BB65" s="239">
        <f t="shared" si="56"/>
        <v>0</v>
      </c>
      <c r="BC65" s="277"/>
      <c r="BE65" s="239">
        <f t="shared" si="57"/>
        <v>0</v>
      </c>
      <c r="BF65" s="277"/>
      <c r="BH65" s="239">
        <f t="shared" si="58"/>
        <v>0</v>
      </c>
      <c r="BI65" s="277"/>
      <c r="BK65" s="239">
        <f t="shared" si="59"/>
        <v>0</v>
      </c>
      <c r="BL65" s="277"/>
      <c r="BN65" s="239">
        <f t="shared" si="60"/>
        <v>0</v>
      </c>
      <c r="BO65" s="277"/>
      <c r="BQ65" s="239">
        <f t="shared" si="61"/>
        <v>0</v>
      </c>
      <c r="BR65" s="277"/>
      <c r="BT65" s="239">
        <f t="shared" si="62"/>
        <v>0</v>
      </c>
      <c r="BU65" s="277"/>
      <c r="BW65" s="239">
        <f t="shared" si="63"/>
        <v>0</v>
      </c>
      <c r="BX65" s="277"/>
      <c r="BZ65" s="239"/>
      <c r="CA65" s="239"/>
      <c r="CB65" s="239"/>
      <c r="CC65" s="239"/>
      <c r="CD65" s="239"/>
      <c r="CP65" s="239"/>
      <c r="CQ65" s="239"/>
      <c r="CR65" s="239"/>
      <c r="CS65" s="239"/>
      <c r="CT65" s="239"/>
      <c r="CU65" s="239"/>
      <c r="CV65" s="239"/>
      <c r="CX65" s="239"/>
      <c r="EQ65" s="119"/>
      <c r="ER65" s="119"/>
      <c r="ES65" s="119"/>
      <c r="ET65" s="119"/>
      <c r="EU65" s="119"/>
      <c r="EV65" s="119"/>
      <c r="EW65" s="119"/>
      <c r="EX65" s="119"/>
      <c r="EY65" s="119"/>
      <c r="EZ65" s="119"/>
      <c r="FA65" s="119"/>
      <c r="FB65" s="119"/>
    </row>
    <row r="66" spans="2:162" ht="13.5" customHeight="1" x14ac:dyDescent="0.2">
      <c r="B66" s="158" t="str">
        <f t="shared" si="42"/>
        <v>BALOCH, Ali</v>
      </c>
      <c r="C66" s="124"/>
      <c r="D66" s="124"/>
      <c r="E66" s="124"/>
      <c r="F66" s="124"/>
      <c r="G66" s="124"/>
      <c r="H66" s="124"/>
      <c r="I66" s="124"/>
      <c r="J66" s="278">
        <f t="shared" si="43"/>
        <v>0</v>
      </c>
      <c r="K66" s="124"/>
      <c r="L66" s="124"/>
      <c r="M66" s="278">
        <f t="shared" si="19"/>
        <v>32</v>
      </c>
      <c r="N66" s="274"/>
      <c r="O66" s="239"/>
      <c r="P66" s="239"/>
      <c r="R66" s="239">
        <f t="shared" si="44"/>
        <v>0</v>
      </c>
      <c r="S66" s="277"/>
      <c r="U66" s="239">
        <f t="shared" si="45"/>
        <v>0</v>
      </c>
      <c r="V66" s="277"/>
      <c r="X66" s="239">
        <f t="shared" si="46"/>
        <v>7</v>
      </c>
      <c r="Y66" s="277"/>
      <c r="AA66" s="239">
        <f t="shared" si="47"/>
        <v>0</v>
      </c>
      <c r="AB66" s="277"/>
      <c r="AD66" s="239">
        <f t="shared" si="48"/>
        <v>0</v>
      </c>
      <c r="AE66" s="277"/>
      <c r="AG66" s="239">
        <f t="shared" si="49"/>
        <v>0</v>
      </c>
      <c r="AH66" s="277"/>
      <c r="AJ66" s="239">
        <f t="shared" si="50"/>
        <v>0</v>
      </c>
      <c r="AK66" s="277"/>
      <c r="AM66" s="239">
        <f t="shared" si="51"/>
        <v>0</v>
      </c>
      <c r="AN66" s="277"/>
      <c r="AP66" s="239">
        <f t="shared" si="52"/>
        <v>0</v>
      </c>
      <c r="AQ66" s="277"/>
      <c r="AS66" s="239">
        <f t="shared" si="53"/>
        <v>-2</v>
      </c>
      <c r="AT66" s="277"/>
      <c r="AV66" s="239">
        <f t="shared" si="54"/>
        <v>0</v>
      </c>
      <c r="AW66" s="277"/>
      <c r="AY66" s="239">
        <f t="shared" si="55"/>
        <v>0</v>
      </c>
      <c r="AZ66" s="277"/>
      <c r="BB66" s="239">
        <f t="shared" si="56"/>
        <v>0</v>
      </c>
      <c r="BC66" s="277"/>
      <c r="BE66" s="239">
        <f t="shared" si="57"/>
        <v>0</v>
      </c>
      <c r="BF66" s="277"/>
      <c r="BH66" s="239">
        <f t="shared" si="58"/>
        <v>0</v>
      </c>
      <c r="BI66" s="277"/>
      <c r="BK66" s="239">
        <f t="shared" si="59"/>
        <v>-3</v>
      </c>
      <c r="BL66" s="277"/>
      <c r="BN66" s="239">
        <f t="shared" si="60"/>
        <v>4</v>
      </c>
      <c r="BO66" s="277"/>
      <c r="BQ66" s="239">
        <f t="shared" si="61"/>
        <v>-7</v>
      </c>
      <c r="BR66" s="277"/>
      <c r="BT66" s="239">
        <f t="shared" si="62"/>
        <v>33</v>
      </c>
      <c r="BU66" s="277"/>
      <c r="BW66" s="239">
        <f t="shared" si="63"/>
        <v>0</v>
      </c>
      <c r="BX66" s="277"/>
      <c r="BZ66" s="239"/>
      <c r="CA66" s="239"/>
      <c r="CB66" s="239"/>
      <c r="CC66" s="239"/>
      <c r="CD66" s="239"/>
      <c r="CP66" s="239"/>
      <c r="CQ66" s="239"/>
      <c r="CR66" s="239"/>
      <c r="CS66" s="239"/>
      <c r="CT66" s="239"/>
      <c r="CU66" s="239"/>
      <c r="CV66" s="239"/>
      <c r="CX66" s="239"/>
      <c r="EQ66" s="119"/>
      <c r="ER66" s="119"/>
      <c r="ES66" s="119"/>
      <c r="ET66" s="119"/>
      <c r="EU66" s="119"/>
      <c r="EV66" s="119"/>
      <c r="EW66" s="119"/>
      <c r="EX66" s="119"/>
      <c r="EY66" s="119"/>
      <c r="EZ66" s="119"/>
      <c r="FA66" s="119"/>
      <c r="FB66" s="119"/>
    </row>
    <row r="67" spans="2:162" ht="13.5" customHeight="1" x14ac:dyDescent="0.2">
      <c r="B67" s="158" t="str">
        <f t="shared" si="42"/>
        <v>CO-OP, Lenard</v>
      </c>
      <c r="C67" s="124"/>
      <c r="D67" s="124"/>
      <c r="E67" s="124"/>
      <c r="F67" s="124"/>
      <c r="G67" s="124"/>
      <c r="H67" s="124"/>
      <c r="I67" s="124"/>
      <c r="J67" s="278">
        <f t="shared" si="43"/>
        <v>0</v>
      </c>
      <c r="K67" s="124"/>
      <c r="L67" s="124"/>
      <c r="M67" s="278">
        <f t="shared" si="19"/>
        <v>-5</v>
      </c>
      <c r="N67" s="274"/>
      <c r="O67" s="239"/>
      <c r="P67" s="239"/>
      <c r="R67" s="239">
        <f t="shared" si="44"/>
        <v>0</v>
      </c>
      <c r="S67" s="277"/>
      <c r="U67" s="239">
        <f t="shared" si="45"/>
        <v>0</v>
      </c>
      <c r="V67" s="277"/>
      <c r="X67" s="239">
        <f t="shared" si="46"/>
        <v>0</v>
      </c>
      <c r="Y67" s="277"/>
      <c r="AA67" s="239">
        <f t="shared" si="47"/>
        <v>0</v>
      </c>
      <c r="AB67" s="277"/>
      <c r="AD67" s="239">
        <f t="shared" si="48"/>
        <v>0</v>
      </c>
      <c r="AE67" s="277"/>
      <c r="AG67" s="239">
        <f t="shared" si="49"/>
        <v>0</v>
      </c>
      <c r="AH67" s="277"/>
      <c r="AJ67" s="239">
        <f t="shared" si="50"/>
        <v>0</v>
      </c>
      <c r="AK67" s="277"/>
      <c r="AM67" s="239">
        <f t="shared" si="51"/>
        <v>-5</v>
      </c>
      <c r="AN67" s="277"/>
      <c r="AP67" s="239">
        <f t="shared" si="52"/>
        <v>0</v>
      </c>
      <c r="AQ67" s="277"/>
      <c r="AS67" s="239">
        <f t="shared" si="53"/>
        <v>0</v>
      </c>
      <c r="AT67" s="277"/>
      <c r="AV67" s="239">
        <f t="shared" si="54"/>
        <v>0</v>
      </c>
      <c r="AW67" s="277"/>
      <c r="AY67" s="239">
        <f t="shared" si="55"/>
        <v>0</v>
      </c>
      <c r="AZ67" s="277"/>
      <c r="BB67" s="239">
        <f t="shared" si="56"/>
        <v>0</v>
      </c>
      <c r="BC67" s="277"/>
      <c r="BE67" s="239">
        <f t="shared" si="57"/>
        <v>0</v>
      </c>
      <c r="BF67" s="277"/>
      <c r="BH67" s="239">
        <f t="shared" si="58"/>
        <v>0</v>
      </c>
      <c r="BI67" s="277"/>
      <c r="BK67" s="239">
        <f t="shared" si="59"/>
        <v>0</v>
      </c>
      <c r="BL67" s="277"/>
      <c r="BN67" s="239">
        <f t="shared" si="60"/>
        <v>0</v>
      </c>
      <c r="BO67" s="277"/>
      <c r="BQ67" s="239">
        <f t="shared" si="61"/>
        <v>0</v>
      </c>
      <c r="BR67" s="277"/>
      <c r="BT67" s="239">
        <f t="shared" si="62"/>
        <v>0</v>
      </c>
      <c r="BU67" s="277"/>
      <c r="BW67" s="239">
        <f t="shared" si="63"/>
        <v>0</v>
      </c>
      <c r="BX67" s="277"/>
      <c r="BZ67" s="239"/>
      <c r="CA67" s="239"/>
      <c r="CB67" s="239"/>
      <c r="CC67" s="239"/>
      <c r="CD67" s="239"/>
      <c r="CP67" s="239"/>
      <c r="CQ67" s="239"/>
      <c r="CR67" s="239"/>
      <c r="CS67" s="239"/>
      <c r="CT67" s="239"/>
      <c r="CU67" s="239"/>
      <c r="CV67" s="239"/>
      <c r="CX67" s="239"/>
      <c r="EQ67" s="119"/>
      <c r="ER67" s="119"/>
      <c r="ES67" s="119"/>
      <c r="ET67" s="119"/>
      <c r="EU67" s="119"/>
      <c r="EV67" s="119"/>
      <c r="EW67" s="119"/>
      <c r="EX67" s="119"/>
      <c r="EY67" s="119"/>
      <c r="EZ67" s="119"/>
      <c r="FA67" s="119"/>
      <c r="FB67" s="119"/>
    </row>
    <row r="68" spans="2:162" ht="13.5" customHeight="1" x14ac:dyDescent="0.2">
      <c r="B68" s="158" t="str">
        <f t="shared" si="42"/>
        <v>SHARMA, Pawan</v>
      </c>
      <c r="C68" s="124"/>
      <c r="D68" s="124"/>
      <c r="E68" s="124"/>
      <c r="F68" s="124"/>
      <c r="G68" s="124"/>
      <c r="H68" s="124"/>
      <c r="I68" s="124"/>
      <c r="J68" s="278">
        <f t="shared" si="43"/>
        <v>0</v>
      </c>
      <c r="K68" s="124"/>
      <c r="L68" s="124"/>
      <c r="M68" s="278">
        <f t="shared" si="19"/>
        <v>-6</v>
      </c>
      <c r="N68" s="274"/>
      <c r="O68" s="239"/>
      <c r="P68" s="239"/>
      <c r="R68" s="239">
        <f t="shared" si="44"/>
        <v>0</v>
      </c>
      <c r="S68" s="277"/>
      <c r="U68" s="239">
        <f t="shared" si="45"/>
        <v>0</v>
      </c>
      <c r="V68" s="277"/>
      <c r="X68" s="239">
        <f t="shared" si="46"/>
        <v>0</v>
      </c>
      <c r="Y68" s="277"/>
      <c r="AA68" s="239">
        <f t="shared" si="47"/>
        <v>0</v>
      </c>
      <c r="AB68" s="277"/>
      <c r="AD68" s="239">
        <f t="shared" si="48"/>
        <v>0</v>
      </c>
      <c r="AE68" s="277"/>
      <c r="AG68" s="239">
        <f t="shared" si="49"/>
        <v>0</v>
      </c>
      <c r="AH68" s="277"/>
      <c r="AJ68" s="239">
        <f t="shared" si="50"/>
        <v>-7</v>
      </c>
      <c r="AK68" s="277"/>
      <c r="AM68" s="239">
        <f t="shared" si="51"/>
        <v>0</v>
      </c>
      <c r="AN68" s="277"/>
      <c r="AP68" s="239">
        <f t="shared" si="52"/>
        <v>0</v>
      </c>
      <c r="AQ68" s="277"/>
      <c r="AS68" s="239">
        <f t="shared" si="53"/>
        <v>0</v>
      </c>
      <c r="AT68" s="277"/>
      <c r="AV68" s="239">
        <f t="shared" si="54"/>
        <v>1</v>
      </c>
      <c r="AW68" s="277"/>
      <c r="AY68" s="239">
        <f t="shared" si="55"/>
        <v>0</v>
      </c>
      <c r="AZ68" s="277"/>
      <c r="BB68" s="239">
        <f t="shared" si="56"/>
        <v>0</v>
      </c>
      <c r="BC68" s="277"/>
      <c r="BE68" s="239">
        <f t="shared" si="57"/>
        <v>0</v>
      </c>
      <c r="BF68" s="277"/>
      <c r="BH68" s="239">
        <f t="shared" si="58"/>
        <v>0</v>
      </c>
      <c r="BI68" s="277"/>
      <c r="BK68" s="239">
        <f t="shared" si="59"/>
        <v>0</v>
      </c>
      <c r="BL68" s="277"/>
      <c r="BN68" s="239">
        <f t="shared" si="60"/>
        <v>0</v>
      </c>
      <c r="BO68" s="277"/>
      <c r="BQ68" s="239">
        <f t="shared" si="61"/>
        <v>0</v>
      </c>
      <c r="BR68" s="277"/>
      <c r="BT68" s="239">
        <f t="shared" si="62"/>
        <v>0</v>
      </c>
      <c r="BU68" s="277"/>
      <c r="BW68" s="239">
        <f t="shared" si="63"/>
        <v>0</v>
      </c>
      <c r="BX68" s="277"/>
      <c r="BZ68" s="239"/>
      <c r="CA68" s="239"/>
      <c r="CB68" s="239"/>
      <c r="CC68" s="239"/>
      <c r="CD68" s="239"/>
      <c r="CP68" s="239"/>
      <c r="CQ68" s="239"/>
      <c r="CR68" s="239"/>
      <c r="CS68" s="239"/>
      <c r="CT68" s="239"/>
      <c r="CU68" s="239"/>
      <c r="CV68" s="239"/>
      <c r="CX68" s="239"/>
      <c r="EQ68" s="119"/>
      <c r="ER68" s="119"/>
      <c r="ES68" s="119"/>
      <c r="ET68" s="119"/>
      <c r="EU68" s="119"/>
      <c r="EV68" s="119"/>
      <c r="EW68" s="119"/>
      <c r="EX68" s="119"/>
      <c r="EY68" s="119"/>
      <c r="EZ68" s="119"/>
      <c r="FA68" s="119"/>
      <c r="FB68" s="119"/>
    </row>
    <row r="69" spans="2:162" ht="13.5" customHeight="1" x14ac:dyDescent="0.2">
      <c r="B69" s="158" t="str">
        <f t="shared" si="42"/>
        <v>KARA, Pravesh</v>
      </c>
      <c r="C69" s="124"/>
      <c r="D69" s="124"/>
      <c r="E69" s="124"/>
      <c r="F69" s="124"/>
      <c r="G69" s="124"/>
      <c r="H69" s="124"/>
      <c r="I69" s="124"/>
      <c r="J69" s="278">
        <f t="shared" si="43"/>
        <v>0</v>
      </c>
      <c r="K69" s="124"/>
      <c r="L69" s="124"/>
      <c r="M69" s="278">
        <f t="shared" si="19"/>
        <v>-7</v>
      </c>
      <c r="N69" s="274"/>
      <c r="O69" s="239"/>
      <c r="P69" s="239"/>
      <c r="R69" s="239">
        <f t="shared" si="44"/>
        <v>0</v>
      </c>
      <c r="S69" s="277"/>
      <c r="U69" s="239">
        <f t="shared" si="45"/>
        <v>0</v>
      </c>
      <c r="V69" s="277"/>
      <c r="X69" s="239">
        <f t="shared" si="46"/>
        <v>0</v>
      </c>
      <c r="Y69" s="277"/>
      <c r="AA69" s="239">
        <f t="shared" si="47"/>
        <v>0</v>
      </c>
      <c r="AB69" s="277"/>
      <c r="AD69" s="239">
        <f t="shared" si="48"/>
        <v>0</v>
      </c>
      <c r="AE69" s="277"/>
      <c r="AG69" s="239">
        <f t="shared" si="49"/>
        <v>0</v>
      </c>
      <c r="AH69" s="277"/>
      <c r="AJ69" s="239">
        <f t="shared" si="50"/>
        <v>-7</v>
      </c>
      <c r="AK69" s="277"/>
      <c r="AM69" s="239">
        <f t="shared" si="51"/>
        <v>0</v>
      </c>
      <c r="AN69" s="277"/>
      <c r="AP69" s="239">
        <f t="shared" si="52"/>
        <v>0</v>
      </c>
      <c r="AQ69" s="277"/>
      <c r="AS69" s="239">
        <f t="shared" si="53"/>
        <v>0</v>
      </c>
      <c r="AT69" s="277"/>
      <c r="AV69" s="239">
        <f t="shared" si="54"/>
        <v>0</v>
      </c>
      <c r="AW69" s="277"/>
      <c r="AY69" s="239">
        <f t="shared" si="55"/>
        <v>0</v>
      </c>
      <c r="AZ69" s="277"/>
      <c r="BB69" s="239">
        <f t="shared" si="56"/>
        <v>0</v>
      </c>
      <c r="BC69" s="277"/>
      <c r="BE69" s="239">
        <f t="shared" si="57"/>
        <v>0</v>
      </c>
      <c r="BF69" s="277"/>
      <c r="BH69" s="239">
        <f t="shared" si="58"/>
        <v>0</v>
      </c>
      <c r="BI69" s="277"/>
      <c r="BK69" s="239">
        <f t="shared" si="59"/>
        <v>0</v>
      </c>
      <c r="BL69" s="277"/>
      <c r="BN69" s="239">
        <f t="shared" si="60"/>
        <v>0</v>
      </c>
      <c r="BO69" s="277"/>
      <c r="BQ69" s="239">
        <f t="shared" si="61"/>
        <v>0</v>
      </c>
      <c r="BR69" s="277"/>
      <c r="BT69" s="239">
        <f t="shared" si="62"/>
        <v>0</v>
      </c>
      <c r="BU69" s="277"/>
      <c r="BW69" s="239">
        <f t="shared" si="63"/>
        <v>0</v>
      </c>
      <c r="BX69" s="277"/>
      <c r="BZ69" s="239"/>
      <c r="CA69" s="239"/>
      <c r="CB69" s="239"/>
      <c r="CC69" s="239"/>
      <c r="CD69" s="239"/>
      <c r="CP69" s="239"/>
      <c r="CQ69" s="239"/>
      <c r="CR69" s="239"/>
      <c r="CS69" s="239"/>
      <c r="CT69" s="239"/>
      <c r="CU69" s="239"/>
      <c r="CV69" s="239"/>
      <c r="CX69" s="239"/>
      <c r="EQ69" s="119"/>
      <c r="ER69" s="119"/>
      <c r="ES69" s="119"/>
      <c r="ET69" s="119"/>
      <c r="EU69" s="119"/>
      <c r="EV69" s="119"/>
      <c r="EW69" s="119"/>
      <c r="EX69" s="119"/>
      <c r="EY69" s="119"/>
      <c r="EZ69" s="119"/>
      <c r="FA69" s="119"/>
      <c r="FB69" s="119"/>
    </row>
    <row r="70" spans="2:162" ht="13.5" customHeight="1" x14ac:dyDescent="0.2">
      <c r="B70" s="158" t="str">
        <f>B18</f>
        <v>SPARROW, Luke</v>
      </c>
      <c r="C70" s="124"/>
      <c r="D70" s="124"/>
      <c r="E70" s="124"/>
      <c r="F70" s="124"/>
      <c r="G70" s="124"/>
      <c r="H70" s="124"/>
      <c r="I70" s="124"/>
      <c r="J70" s="278">
        <f>M18-M70</f>
        <v>0</v>
      </c>
      <c r="K70" s="124"/>
      <c r="L70" s="124"/>
      <c r="M70" s="278">
        <f t="shared" si="19"/>
        <v>54</v>
      </c>
      <c r="N70" s="274"/>
      <c r="O70" s="239"/>
      <c r="P70" s="239"/>
      <c r="R70" s="239">
        <f>IF(AND(R18&gt;0,S18="*"),R18,IF(R18="dnb",0,IF(AND(R18&lt;&gt;"",S18=""),R18-7,0)))</f>
        <v>0</v>
      </c>
      <c r="S70" s="277"/>
      <c r="U70" s="239">
        <f>IF(AND(U18&gt;0,V18="*"),U18,IF(U18="dnb",0,IF(AND(U18&lt;&gt;"",V18=""),U18-7,0)))</f>
        <v>0</v>
      </c>
      <c r="V70" s="277"/>
      <c r="X70" s="239">
        <f>IF(AND(X18&gt;0,Y18="*"),X18,IF(X18="dnb",0,IF(AND(X18&lt;&gt;"",Y18=""),X18-7,0)))</f>
        <v>0</v>
      </c>
      <c r="Y70" s="277"/>
      <c r="AA70" s="239">
        <f>IF(AND(AA18&gt;0,AB18="*"),AA18,IF(AA18="dnb",0,IF(AND(AA18&lt;&gt;"",AB18=""),AA18-7,0)))</f>
        <v>2</v>
      </c>
      <c r="AB70" s="277"/>
      <c r="AD70" s="239">
        <f>IF(AND(AD18&gt;0,AE18="*"),AD18,IF(AD18="dnb",0,IF(AND(AD18&lt;&gt;"",AE18=""),AD18-7,0)))</f>
        <v>0</v>
      </c>
      <c r="AE70" s="277"/>
      <c r="AG70" s="239">
        <f>IF(AND(AG18&gt;0,AH18="*"),AG18,IF(AG18="dnb",0,IF(AND(AG18&lt;&gt;"",AH18=""),AG18-7,0)))</f>
        <v>0</v>
      </c>
      <c r="AH70" s="277"/>
      <c r="AJ70" s="239">
        <f>IF(AND(AJ18&gt;0,AK18="*"),AJ18,IF(AJ18="dnb",0,IF(AND(AJ18&lt;&gt;"",AK18=""),AJ18-7,0)))</f>
        <v>0</v>
      </c>
      <c r="AK70" s="277"/>
      <c r="AM70" s="239">
        <f>IF(AND(AM18&gt;0,AN18="*"),AM18,IF(AM18="dnb",0,IF(AND(AM18&lt;&gt;"",AN18=""),AM18-7,0)))</f>
        <v>14</v>
      </c>
      <c r="AN70" s="277"/>
      <c r="AP70" s="239">
        <f>IF(AND(AP18&gt;0,AQ18="*"),AP18,IF(AP18="dnb",0,IF(AND(AP18&lt;&gt;"",AQ18=""),AP18-7,0)))</f>
        <v>5</v>
      </c>
      <c r="AQ70" s="277"/>
      <c r="AS70" s="239">
        <f>IF(AND(AS18&gt;0,AT18="*"),AS18,IF(AS18="dnb",0,IF(AND(AS18&lt;&gt;"",AT18=""),AS18-7,0)))</f>
        <v>-7</v>
      </c>
      <c r="AT70" s="277"/>
      <c r="AV70" s="239">
        <f>IF(AND(AV18&gt;0,AW18="*"),AV18,IF(AV18="dnb",0,IF(AND(AV18&lt;&gt;"",AW18=""),AV18-7,0)))</f>
        <v>-7</v>
      </c>
      <c r="AW70" s="277"/>
      <c r="AY70" s="239">
        <f>IF(AND(AY18&gt;0,AZ18="*"),AY18,IF(AY18="dnb",0,IF(AND(AY18&lt;&gt;"",AZ18=""),AY18-7,0)))</f>
        <v>21</v>
      </c>
      <c r="AZ70" s="277"/>
      <c r="BB70" s="239">
        <f>IF(AND(BB18&gt;0,BC18="*"),BB18,IF(BB18="dnb",0,IF(AND(BB18&lt;&gt;"",BC18=""),BB18-7,0)))</f>
        <v>0</v>
      </c>
      <c r="BC70" s="277"/>
      <c r="BE70" s="239">
        <f>IF(AND(BE18&gt;0,BF18="*"),BE18,IF(BE18="dnb",0,IF(AND(BE18&lt;&gt;"",BF18=""),BE18-7,0)))</f>
        <v>0</v>
      </c>
      <c r="BF70" s="277"/>
      <c r="BH70" s="239">
        <f>IF(AND(BH18&gt;0,BI18="*"),BH18,IF(BH18="dnb",0,IF(AND(BH18&lt;&gt;"",BI18=""),BH18-7,0)))</f>
        <v>0</v>
      </c>
      <c r="BI70" s="277"/>
      <c r="BK70" s="239">
        <f>IF(AND(BK18&gt;0,BL18="*"),BK18,IF(BK18="dnb",0,IF(AND(BK18&lt;&gt;"",BL18=""),BK18-7,0)))</f>
        <v>2</v>
      </c>
      <c r="BL70" s="277"/>
      <c r="BN70" s="239">
        <f>IF(AND(BN18&gt;0,BO18="*"),BN18,IF(BN18="dnb",0,IF(AND(BN18&lt;&gt;"",BO18=""),BN18-7,0)))</f>
        <v>0</v>
      </c>
      <c r="BO70" s="277"/>
      <c r="BQ70" s="239">
        <f>IF(AND(BQ18&gt;0,BR18="*"),BQ18,IF(BQ18="dnb",0,IF(AND(BQ18&lt;&gt;"",BR18=""),BQ18-7,0)))</f>
        <v>0</v>
      </c>
      <c r="BR70" s="277"/>
      <c r="BT70" s="239">
        <f>IF(AND(BT18&gt;0,BU18="*"),BT18,IF(BT18="dnb",0,IF(AND(BT18&lt;&gt;"",BU18=""),BT18-7,0)))</f>
        <v>24</v>
      </c>
      <c r="BU70" s="277"/>
      <c r="BW70" s="239">
        <f>IF(AND(BW18&gt;0,BX18="*"),BW18,IF(BW18="dnb",0,IF(AND(BW18&lt;&gt;"",BX18=""),BW18-7,0)))</f>
        <v>0</v>
      </c>
      <c r="BX70" s="277"/>
      <c r="BZ70" s="239"/>
      <c r="CA70" s="239"/>
      <c r="CB70" s="239"/>
      <c r="CC70" s="239"/>
      <c r="CD70" s="239"/>
      <c r="CP70" s="239"/>
      <c r="CQ70" s="239"/>
      <c r="CR70" s="239"/>
      <c r="CS70" s="239"/>
      <c r="CT70" s="239"/>
      <c r="CU70" s="239"/>
      <c r="CV70" s="239"/>
      <c r="CX70" s="239"/>
      <c r="EQ70" s="119"/>
      <c r="ER70" s="119"/>
      <c r="ES70" s="119"/>
      <c r="ET70" s="119"/>
      <c r="EU70" s="119"/>
      <c r="EV70" s="119"/>
      <c r="EW70" s="119"/>
      <c r="EX70" s="119"/>
      <c r="EY70" s="119"/>
      <c r="EZ70" s="119"/>
      <c r="FA70" s="119"/>
      <c r="FB70" s="119"/>
    </row>
    <row r="71" spans="2:162" ht="13.5" customHeight="1" x14ac:dyDescent="0.2">
      <c r="B71" s="158" t="str">
        <f t="shared" ref="B71:B75" si="64">B37</f>
        <v>THACKER, Jai</v>
      </c>
      <c r="C71" s="124"/>
      <c r="D71" s="124"/>
      <c r="E71" s="124"/>
      <c r="F71" s="124"/>
      <c r="G71" s="124"/>
      <c r="H71" s="124"/>
      <c r="I71" s="124"/>
      <c r="J71" s="278">
        <f t="shared" ref="J71:J75" si="65">M37-M71</f>
        <v>0</v>
      </c>
      <c r="K71" s="124"/>
      <c r="L71" s="124"/>
      <c r="M71" s="278">
        <f t="shared" si="19"/>
        <v>-7</v>
      </c>
      <c r="N71" s="274"/>
      <c r="O71" s="239"/>
      <c r="P71" s="239"/>
      <c r="R71" s="239">
        <f t="shared" ref="R71:R75" si="66">IF(AND(R37&gt;0,S37="*"),R37,IF(R37="dnb",0,IF(AND(R37&lt;&gt;"",S37=""),R37-7,0)))</f>
        <v>0</v>
      </c>
      <c r="S71" s="277"/>
      <c r="U71" s="239">
        <f t="shared" ref="U71:U75" si="67">IF(AND(U37&gt;0,V37="*"),U37,IF(U37="dnb",0,IF(AND(U37&lt;&gt;"",V37=""),U37-7,0)))</f>
        <v>0</v>
      </c>
      <c r="V71" s="277"/>
      <c r="X71" s="239">
        <f t="shared" ref="X71:X75" si="68">IF(AND(X37&gt;0,Y37="*"),X37,IF(X37="dnb",0,IF(AND(X37&lt;&gt;"",Y37=""),X37-7,0)))</f>
        <v>0</v>
      </c>
      <c r="Y71" s="277"/>
      <c r="AA71" s="239">
        <f t="shared" ref="AA71:AA75" si="69">IF(AND(AA37&gt;0,AB37="*"),AA37,IF(AA37="dnb",0,IF(AND(AA37&lt;&gt;"",AB37=""),AA37-7,0)))</f>
        <v>-7</v>
      </c>
      <c r="AB71" s="277"/>
      <c r="AD71" s="239">
        <f t="shared" ref="AD71:AD75" si="70">IF(AND(AD37&gt;0,AE37="*"),AD37,IF(AD37="dnb",0,IF(AND(AD37&lt;&gt;"",AE37=""),AD37-7,0)))</f>
        <v>0</v>
      </c>
      <c r="AE71" s="277"/>
      <c r="AG71" s="239">
        <f t="shared" ref="AG71:AG75" si="71">IF(AND(AG37&gt;0,AH37="*"),AG37,IF(AG37="dnb",0,IF(AND(AG37&lt;&gt;"",AH37=""),AG37-7,0)))</f>
        <v>0</v>
      </c>
      <c r="AH71" s="277"/>
      <c r="AJ71" s="239">
        <f t="shared" ref="AJ71:AJ75" si="72">IF(AND(AJ37&gt;0,AK37="*"),AJ37,IF(AJ37="dnb",0,IF(AND(AJ37&lt;&gt;"",AK37=""),AJ37-7,0)))</f>
        <v>0</v>
      </c>
      <c r="AK71" s="277"/>
      <c r="AM71" s="239">
        <f t="shared" ref="AM71:AM75" si="73">IF(AND(AM37&gt;0,AN37="*"),AM37,IF(AM37="dnb",0,IF(AND(AM37&lt;&gt;"",AN37=""),AM37-7,0)))</f>
        <v>0</v>
      </c>
      <c r="AN71" s="277"/>
      <c r="AP71" s="239">
        <f t="shared" ref="AP71:AP75" si="74">IF(AND(AP37&gt;0,AQ37="*"),AP37,IF(AP37="dnb",0,IF(AND(AP37&lt;&gt;"",AQ37=""),AP37-7,0)))</f>
        <v>0</v>
      </c>
      <c r="AQ71" s="277"/>
      <c r="AS71" s="239">
        <f t="shared" ref="AS71:AS75" si="75">IF(AND(AS37&gt;0,AT37="*"),AS37,IF(AS37="dnb",0,IF(AND(AS37&lt;&gt;"",AT37=""),AS37-7,0)))</f>
        <v>0</v>
      </c>
      <c r="AT71" s="277"/>
      <c r="AV71" s="239">
        <f t="shared" ref="AV71:AV75" si="76">IF(AND(AV37&gt;0,AW37="*"),AV37,IF(AV37="dnb",0,IF(AND(AV37&lt;&gt;"",AW37=""),AV37-7,0)))</f>
        <v>0</v>
      </c>
      <c r="AW71" s="277"/>
      <c r="AY71" s="239">
        <f t="shared" ref="AY71:AY75" si="77">IF(AND(AY37&gt;0,AZ37="*"),AY37,IF(AY37="dnb",0,IF(AND(AY37&lt;&gt;"",AZ37=""),AY37-7,0)))</f>
        <v>0</v>
      </c>
      <c r="AZ71" s="277"/>
      <c r="BB71" s="239">
        <f t="shared" ref="BB71:BB75" si="78">IF(AND(BB37&gt;0,BC37="*"),BB37,IF(BB37="dnb",0,IF(AND(BB37&lt;&gt;"",BC37=""),BB37-7,0)))</f>
        <v>0</v>
      </c>
      <c r="BC71" s="277"/>
      <c r="BE71" s="239">
        <f t="shared" ref="BE71:BE75" si="79">IF(AND(BE37&gt;0,BF37="*"),BE37,IF(BE37="dnb",0,IF(AND(BE37&lt;&gt;"",BF37=""),BE37-7,0)))</f>
        <v>0</v>
      </c>
      <c r="BF71" s="277"/>
      <c r="BH71" s="239">
        <f t="shared" ref="BH71:BH75" si="80">IF(AND(BH37&gt;0,BI37="*"),BH37,IF(BH37="dnb",0,IF(AND(BH37&lt;&gt;"",BI37=""),BH37-7,0)))</f>
        <v>0</v>
      </c>
      <c r="BI71" s="277"/>
      <c r="BK71" s="239">
        <f t="shared" ref="BK71:BK75" si="81">IF(AND(BK37&gt;0,BL37="*"),BK37,IF(BK37="dnb",0,IF(AND(BK37&lt;&gt;"",BL37=""),BK37-7,0)))</f>
        <v>0</v>
      </c>
      <c r="BL71" s="277"/>
      <c r="BN71" s="239">
        <f t="shared" ref="BN71:BN75" si="82">IF(AND(BN37&gt;0,BO37="*"),BN37,IF(BN37="dnb",0,IF(AND(BN37&lt;&gt;"",BO37=""),BN37-7,0)))</f>
        <v>0</v>
      </c>
      <c r="BO71" s="277"/>
      <c r="BQ71" s="239">
        <f t="shared" ref="BQ71:BQ75" si="83">IF(AND(BQ37&gt;0,BR37="*"),BQ37,IF(BQ37="dnb",0,IF(AND(BQ37&lt;&gt;"",BR37=""),BQ37-7,0)))</f>
        <v>0</v>
      </c>
      <c r="BR71" s="277"/>
      <c r="BT71" s="239">
        <f t="shared" ref="BT71:BT75" si="84">IF(AND(BT37&gt;0,BU37="*"),BT37,IF(BT37="dnb",0,IF(AND(BT37&lt;&gt;"",BU37=""),BT37-7,0)))</f>
        <v>0</v>
      </c>
      <c r="BU71" s="277"/>
      <c r="BW71" s="239">
        <f t="shared" ref="BW71:BW75" si="85">IF(AND(BW37&gt;0,BX37="*"),BW37,IF(BW37="dnb",0,IF(AND(BW37&lt;&gt;"",BX37=""),BW37-7,0)))</f>
        <v>0</v>
      </c>
      <c r="BX71" s="277"/>
      <c r="BZ71" s="239"/>
      <c r="CA71" s="239"/>
      <c r="CB71" s="239"/>
      <c r="CC71" s="239"/>
      <c r="CD71" s="239"/>
      <c r="CP71" s="239"/>
      <c r="CQ71" s="239"/>
      <c r="CR71" s="239"/>
      <c r="CS71" s="239"/>
      <c r="CT71" s="239"/>
      <c r="CU71" s="239"/>
      <c r="CV71" s="239"/>
      <c r="CX71" s="239"/>
      <c r="EQ71" s="119"/>
      <c r="ER71" s="119"/>
      <c r="ES71" s="119"/>
      <c r="ET71" s="119"/>
      <c r="EU71" s="119"/>
      <c r="EV71" s="119"/>
      <c r="EW71" s="119"/>
      <c r="EX71" s="119"/>
      <c r="EY71" s="119"/>
      <c r="EZ71" s="119"/>
      <c r="FA71" s="119"/>
      <c r="FB71" s="119"/>
    </row>
    <row r="72" spans="2:162" ht="13.5" customHeight="1" x14ac:dyDescent="0.2">
      <c r="B72" s="158" t="str">
        <f t="shared" si="64"/>
        <v>WARNER, Kupa</v>
      </c>
      <c r="C72" s="124"/>
      <c r="D72" s="124"/>
      <c r="E72" s="124"/>
      <c r="F72" s="124"/>
      <c r="G72" s="124"/>
      <c r="H72" s="124"/>
      <c r="I72" s="124"/>
      <c r="J72" s="278">
        <f t="shared" si="65"/>
        <v>0</v>
      </c>
      <c r="K72" s="124"/>
      <c r="L72" s="124"/>
      <c r="M72" s="278">
        <f t="shared" si="19"/>
        <v>-7</v>
      </c>
      <c r="N72" s="274"/>
      <c r="O72" s="239"/>
      <c r="P72" s="239"/>
      <c r="R72" s="239">
        <f t="shared" si="66"/>
        <v>0</v>
      </c>
      <c r="S72" s="277"/>
      <c r="U72" s="239">
        <f t="shared" si="67"/>
        <v>0</v>
      </c>
      <c r="V72" s="277"/>
      <c r="X72" s="239">
        <f t="shared" si="68"/>
        <v>0</v>
      </c>
      <c r="Y72" s="277"/>
      <c r="AA72" s="239">
        <f t="shared" si="69"/>
        <v>0</v>
      </c>
      <c r="AB72" s="277"/>
      <c r="AD72" s="239">
        <f t="shared" si="70"/>
        <v>0</v>
      </c>
      <c r="AE72" s="277"/>
      <c r="AG72" s="239">
        <f t="shared" si="71"/>
        <v>0</v>
      </c>
      <c r="AH72" s="277"/>
      <c r="AJ72" s="239">
        <f t="shared" si="72"/>
        <v>0</v>
      </c>
      <c r="AK72" s="277"/>
      <c r="AM72" s="239">
        <f t="shared" si="73"/>
        <v>0</v>
      </c>
      <c r="AN72" s="277"/>
      <c r="AP72" s="239">
        <f t="shared" si="74"/>
        <v>0</v>
      </c>
      <c r="AQ72" s="277"/>
      <c r="AS72" s="239">
        <f t="shared" si="75"/>
        <v>-7</v>
      </c>
      <c r="AT72" s="277"/>
      <c r="AV72" s="239">
        <f t="shared" si="76"/>
        <v>0</v>
      </c>
      <c r="AW72" s="277"/>
      <c r="AY72" s="239">
        <f t="shared" si="77"/>
        <v>0</v>
      </c>
      <c r="AZ72" s="277"/>
      <c r="BB72" s="239">
        <f t="shared" si="78"/>
        <v>0</v>
      </c>
      <c r="BC72" s="277"/>
      <c r="BE72" s="239">
        <f t="shared" si="79"/>
        <v>0</v>
      </c>
      <c r="BF72" s="277"/>
      <c r="BH72" s="239">
        <f t="shared" si="80"/>
        <v>0</v>
      </c>
      <c r="BI72" s="277"/>
      <c r="BK72" s="239">
        <f t="shared" si="81"/>
        <v>0</v>
      </c>
      <c r="BL72" s="277"/>
      <c r="BN72" s="239">
        <f t="shared" si="82"/>
        <v>0</v>
      </c>
      <c r="BO72" s="277"/>
      <c r="BQ72" s="239">
        <f t="shared" si="83"/>
        <v>0</v>
      </c>
      <c r="BR72" s="277"/>
      <c r="BT72" s="239">
        <f t="shared" si="84"/>
        <v>0</v>
      </c>
      <c r="BU72" s="277"/>
      <c r="BW72" s="239">
        <f t="shared" si="85"/>
        <v>0</v>
      </c>
      <c r="BX72" s="277"/>
      <c r="BZ72" s="239"/>
      <c r="CA72" s="239"/>
      <c r="CB72" s="239"/>
      <c r="CC72" s="239"/>
      <c r="CD72" s="239"/>
      <c r="CP72" s="239"/>
      <c r="CQ72" s="239"/>
      <c r="CR72" s="239"/>
      <c r="CS72" s="239"/>
      <c r="CT72" s="239"/>
      <c r="CU72" s="239"/>
      <c r="CV72" s="239"/>
      <c r="CX72" s="239"/>
      <c r="EQ72" s="119"/>
      <c r="ER72" s="119"/>
      <c r="ES72" s="119"/>
      <c r="ET72" s="119"/>
      <c r="EU72" s="119"/>
      <c r="EV72" s="119"/>
      <c r="EW72" s="119"/>
      <c r="EX72" s="119"/>
      <c r="EY72" s="119"/>
      <c r="EZ72" s="119"/>
      <c r="FA72" s="119"/>
      <c r="FB72" s="119"/>
    </row>
    <row r="73" spans="2:162" ht="13.5" customHeight="1" x14ac:dyDescent="0.2">
      <c r="B73" s="158" t="str">
        <f t="shared" si="64"/>
        <v>BLACKMAN, Dave</v>
      </c>
      <c r="C73" s="124"/>
      <c r="D73" s="124"/>
      <c r="E73" s="124"/>
      <c r="F73" s="124"/>
      <c r="G73" s="124"/>
      <c r="H73" s="124"/>
      <c r="I73" s="124"/>
      <c r="J73" s="278">
        <f t="shared" si="65"/>
        <v>0</v>
      </c>
      <c r="K73" s="124"/>
      <c r="L73" s="124"/>
      <c r="M73" s="278">
        <f t="shared" si="19"/>
        <v>-8</v>
      </c>
      <c r="N73" s="274"/>
      <c r="O73" s="239"/>
      <c r="P73" s="239"/>
      <c r="R73" s="239">
        <f t="shared" si="66"/>
        <v>0</v>
      </c>
      <c r="S73" s="277"/>
      <c r="U73" s="239">
        <f t="shared" si="67"/>
        <v>0</v>
      </c>
      <c r="V73" s="277"/>
      <c r="X73" s="239">
        <f t="shared" si="68"/>
        <v>-3</v>
      </c>
      <c r="Y73" s="277"/>
      <c r="AA73" s="239">
        <f t="shared" si="69"/>
        <v>-5</v>
      </c>
      <c r="AB73" s="277"/>
      <c r="AD73" s="239">
        <f t="shared" si="70"/>
        <v>0</v>
      </c>
      <c r="AE73" s="277"/>
      <c r="AG73" s="239">
        <f t="shared" si="71"/>
        <v>0</v>
      </c>
      <c r="AH73" s="277"/>
      <c r="AJ73" s="239">
        <f t="shared" si="72"/>
        <v>0</v>
      </c>
      <c r="AK73" s="277"/>
      <c r="AM73" s="239">
        <f t="shared" si="73"/>
        <v>0</v>
      </c>
      <c r="AN73" s="277"/>
      <c r="AP73" s="239">
        <f t="shared" si="74"/>
        <v>0</v>
      </c>
      <c r="AQ73" s="277"/>
      <c r="AS73" s="239">
        <f t="shared" si="75"/>
        <v>0</v>
      </c>
      <c r="AT73" s="277"/>
      <c r="AV73" s="239">
        <f t="shared" si="76"/>
        <v>0</v>
      </c>
      <c r="AW73" s="277"/>
      <c r="AY73" s="239">
        <f t="shared" si="77"/>
        <v>0</v>
      </c>
      <c r="AZ73" s="277"/>
      <c r="BB73" s="239">
        <f t="shared" si="78"/>
        <v>0</v>
      </c>
      <c r="BC73" s="277"/>
      <c r="BE73" s="239">
        <f t="shared" si="79"/>
        <v>0</v>
      </c>
      <c r="BF73" s="277"/>
      <c r="BH73" s="239">
        <f t="shared" si="80"/>
        <v>0</v>
      </c>
      <c r="BI73" s="277"/>
      <c r="BK73" s="239">
        <f t="shared" si="81"/>
        <v>0</v>
      </c>
      <c r="BL73" s="277"/>
      <c r="BN73" s="239">
        <f t="shared" si="82"/>
        <v>0</v>
      </c>
      <c r="BO73" s="277"/>
      <c r="BQ73" s="239">
        <f t="shared" si="83"/>
        <v>0</v>
      </c>
      <c r="BR73" s="277"/>
      <c r="BT73" s="239">
        <f t="shared" si="84"/>
        <v>0</v>
      </c>
      <c r="BU73" s="277"/>
      <c r="BW73" s="239">
        <f t="shared" si="85"/>
        <v>0</v>
      </c>
      <c r="BX73" s="277"/>
      <c r="BZ73" s="239"/>
      <c r="CA73" s="239"/>
      <c r="CB73" s="239"/>
      <c r="CC73" s="239"/>
      <c r="CD73" s="239"/>
      <c r="CP73" s="239"/>
      <c r="CQ73" s="239"/>
      <c r="CR73" s="239"/>
      <c r="CS73" s="239"/>
      <c r="CT73" s="239"/>
      <c r="CU73" s="239"/>
      <c r="CV73" s="239"/>
      <c r="CX73" s="239"/>
      <c r="EQ73" s="119"/>
      <c r="ER73" s="119"/>
      <c r="ES73" s="119"/>
      <c r="ET73" s="119"/>
      <c r="EU73" s="119"/>
      <c r="EV73" s="119"/>
      <c r="EW73" s="119"/>
      <c r="EX73" s="119"/>
      <c r="EY73" s="119"/>
      <c r="EZ73" s="119"/>
      <c r="FA73" s="119"/>
      <c r="FB73" s="119"/>
    </row>
    <row r="74" spans="2:162" ht="13.5" customHeight="1" x14ac:dyDescent="0.2">
      <c r="B74" s="158" t="str">
        <f t="shared" si="64"/>
        <v>GILLIAN, Kahuna</v>
      </c>
      <c r="C74" s="124"/>
      <c r="D74" s="124"/>
      <c r="E74" s="124"/>
      <c r="F74" s="124"/>
      <c r="G74" s="124"/>
      <c r="H74" s="124"/>
      <c r="I74" s="124"/>
      <c r="J74" s="278">
        <f t="shared" si="65"/>
        <v>0</v>
      </c>
      <c r="K74" s="124"/>
      <c r="L74" s="124"/>
      <c r="M74" s="278">
        <f t="shared" si="19"/>
        <v>-16</v>
      </c>
      <c r="N74" s="274"/>
      <c r="O74" s="239"/>
      <c r="P74" s="239"/>
      <c r="R74" s="239">
        <f t="shared" si="66"/>
        <v>0</v>
      </c>
      <c r="S74" s="277"/>
      <c r="U74" s="239">
        <f t="shared" si="67"/>
        <v>0</v>
      </c>
      <c r="V74" s="277"/>
      <c r="X74" s="239">
        <f t="shared" si="68"/>
        <v>0</v>
      </c>
      <c r="Y74" s="277"/>
      <c r="AA74" s="239">
        <f t="shared" si="69"/>
        <v>-7</v>
      </c>
      <c r="AB74" s="277"/>
      <c r="AD74" s="239">
        <f t="shared" si="70"/>
        <v>0</v>
      </c>
      <c r="AE74" s="277"/>
      <c r="AG74" s="239">
        <f t="shared" si="71"/>
        <v>0</v>
      </c>
      <c r="AH74" s="277"/>
      <c r="AJ74" s="239">
        <f t="shared" si="72"/>
        <v>0</v>
      </c>
      <c r="AK74" s="277"/>
      <c r="AM74" s="239">
        <f t="shared" si="73"/>
        <v>3</v>
      </c>
      <c r="AN74" s="277"/>
      <c r="AP74" s="239">
        <f t="shared" si="74"/>
        <v>-7</v>
      </c>
      <c r="AQ74" s="277"/>
      <c r="AS74" s="239">
        <f t="shared" si="75"/>
        <v>1</v>
      </c>
      <c r="AT74" s="277"/>
      <c r="AV74" s="239">
        <f t="shared" si="76"/>
        <v>0</v>
      </c>
      <c r="AW74" s="277"/>
      <c r="AY74" s="239">
        <f t="shared" si="77"/>
        <v>-6</v>
      </c>
      <c r="AZ74" s="277"/>
      <c r="BB74" s="239">
        <f t="shared" si="78"/>
        <v>0</v>
      </c>
      <c r="BC74" s="277"/>
      <c r="BE74" s="239">
        <f t="shared" si="79"/>
        <v>0</v>
      </c>
      <c r="BF74" s="277"/>
      <c r="BH74" s="239">
        <f t="shared" si="80"/>
        <v>0</v>
      </c>
      <c r="BI74" s="277"/>
      <c r="BK74" s="239">
        <f t="shared" si="81"/>
        <v>0</v>
      </c>
      <c r="BL74" s="277"/>
      <c r="BN74" s="239">
        <f t="shared" si="82"/>
        <v>0</v>
      </c>
      <c r="BO74" s="277"/>
      <c r="BQ74" s="239">
        <f t="shared" si="83"/>
        <v>0</v>
      </c>
      <c r="BR74" s="277"/>
      <c r="BT74" s="239">
        <f t="shared" si="84"/>
        <v>0</v>
      </c>
      <c r="BU74" s="277"/>
      <c r="BW74" s="239">
        <f t="shared" si="85"/>
        <v>0</v>
      </c>
      <c r="BX74" s="277"/>
      <c r="BZ74" s="239"/>
      <c r="CA74" s="239"/>
      <c r="CB74" s="239"/>
      <c r="CC74" s="239"/>
      <c r="CD74" s="239"/>
      <c r="CP74" s="239"/>
      <c r="CQ74" s="239"/>
      <c r="CR74" s="239"/>
      <c r="CS74" s="239"/>
      <c r="CT74" s="239"/>
      <c r="CU74" s="239"/>
      <c r="CV74" s="239"/>
      <c r="CX74" s="239"/>
      <c r="EQ74" s="119"/>
      <c r="ER74" s="119"/>
      <c r="ES74" s="119"/>
      <c r="ET74" s="119"/>
      <c r="EU74" s="119"/>
      <c r="EV74" s="119"/>
      <c r="EW74" s="119"/>
      <c r="EX74" s="119"/>
      <c r="EY74" s="119"/>
      <c r="EZ74" s="119"/>
      <c r="FA74" s="119"/>
      <c r="FB74" s="119"/>
    </row>
    <row r="75" spans="2:162" ht="13.5" customHeight="1" x14ac:dyDescent="0.2">
      <c r="B75" s="158" t="str">
        <f t="shared" si="64"/>
        <v>HARDY, Tim</v>
      </c>
      <c r="C75" s="124"/>
      <c r="D75" s="124"/>
      <c r="E75" s="124"/>
      <c r="F75" s="124"/>
      <c r="G75" s="124"/>
      <c r="H75" s="124"/>
      <c r="I75" s="124"/>
      <c r="J75" s="278">
        <f t="shared" si="65"/>
        <v>0</v>
      </c>
      <c r="K75" s="124"/>
      <c r="L75" s="124"/>
      <c r="M75" s="278">
        <f t="shared" si="19"/>
        <v>-26</v>
      </c>
      <c r="N75" s="274"/>
      <c r="O75" s="239"/>
      <c r="P75" s="239"/>
      <c r="R75" s="239">
        <f t="shared" si="66"/>
        <v>0</v>
      </c>
      <c r="S75" s="277"/>
      <c r="U75" s="239">
        <f t="shared" si="67"/>
        <v>0</v>
      </c>
      <c r="V75" s="277"/>
      <c r="X75" s="239">
        <f t="shared" si="68"/>
        <v>0</v>
      </c>
      <c r="Y75" s="277"/>
      <c r="AA75" s="239">
        <f t="shared" si="69"/>
        <v>0</v>
      </c>
      <c r="AB75" s="277"/>
      <c r="AD75" s="239">
        <f t="shared" si="70"/>
        <v>0</v>
      </c>
      <c r="AE75" s="277"/>
      <c r="AG75" s="239">
        <f t="shared" si="71"/>
        <v>0</v>
      </c>
      <c r="AH75" s="277"/>
      <c r="AJ75" s="239">
        <f t="shared" si="72"/>
        <v>1</v>
      </c>
      <c r="AK75" s="277"/>
      <c r="AM75" s="239">
        <f t="shared" si="73"/>
        <v>0</v>
      </c>
      <c r="AN75" s="277"/>
      <c r="AP75" s="239">
        <f t="shared" si="74"/>
        <v>1</v>
      </c>
      <c r="AQ75" s="277"/>
      <c r="AS75" s="239">
        <f t="shared" si="75"/>
        <v>-7</v>
      </c>
      <c r="AT75" s="277"/>
      <c r="AV75" s="239">
        <f t="shared" si="76"/>
        <v>-7</v>
      </c>
      <c r="AW75" s="277"/>
      <c r="AY75" s="239">
        <f t="shared" si="77"/>
        <v>0</v>
      </c>
      <c r="AZ75" s="277"/>
      <c r="BB75" s="239">
        <f t="shared" si="78"/>
        <v>0</v>
      </c>
      <c r="BC75" s="277"/>
      <c r="BE75" s="239">
        <f t="shared" si="79"/>
        <v>0</v>
      </c>
      <c r="BF75" s="277"/>
      <c r="BH75" s="239">
        <f t="shared" si="80"/>
        <v>0</v>
      </c>
      <c r="BI75" s="277"/>
      <c r="BK75" s="239">
        <f t="shared" si="81"/>
        <v>-1</v>
      </c>
      <c r="BL75" s="277"/>
      <c r="BN75" s="239">
        <f t="shared" si="82"/>
        <v>0</v>
      </c>
      <c r="BO75" s="277"/>
      <c r="BQ75" s="239">
        <f t="shared" si="83"/>
        <v>-6</v>
      </c>
      <c r="BR75" s="277"/>
      <c r="BT75" s="239">
        <f t="shared" si="84"/>
        <v>-7</v>
      </c>
      <c r="BU75" s="277"/>
      <c r="BW75" s="239">
        <f t="shared" si="85"/>
        <v>0</v>
      </c>
      <c r="BX75" s="277"/>
      <c r="BZ75" s="239"/>
      <c r="CA75" s="239"/>
      <c r="CB75" s="239"/>
      <c r="CC75" s="239"/>
      <c r="CD75" s="239"/>
      <c r="CP75" s="239"/>
      <c r="CQ75" s="239"/>
      <c r="CR75" s="239"/>
      <c r="CS75" s="239"/>
      <c r="CT75" s="239"/>
      <c r="CU75" s="239"/>
      <c r="CV75" s="239"/>
      <c r="CX75" s="239"/>
      <c r="EQ75" s="119"/>
      <c r="ER75" s="119"/>
      <c r="ES75" s="119"/>
      <c r="ET75" s="119"/>
      <c r="EU75" s="119"/>
      <c r="EV75" s="119"/>
      <c r="EW75" s="119"/>
      <c r="EX75" s="119"/>
      <c r="EY75" s="119"/>
      <c r="EZ75" s="119"/>
      <c r="FA75" s="119"/>
      <c r="FB75" s="119"/>
    </row>
    <row r="76" spans="2:162" ht="13.5" customHeight="1" x14ac:dyDescent="0.2">
      <c r="B76" s="278"/>
      <c r="C76" s="278"/>
      <c r="D76" s="124"/>
      <c r="E76" s="124"/>
      <c r="F76" s="124"/>
      <c r="G76" s="124"/>
      <c r="H76" s="124"/>
      <c r="I76" s="124"/>
      <c r="J76" s="124"/>
      <c r="K76" s="124"/>
      <c r="L76" s="124"/>
      <c r="M76" s="278"/>
      <c r="N76" s="274"/>
      <c r="O76" s="239"/>
      <c r="P76" s="239"/>
      <c r="R76" s="239"/>
      <c r="S76" s="277"/>
      <c r="U76" s="239"/>
      <c r="V76" s="277"/>
      <c r="X76" s="239"/>
      <c r="Y76" s="277"/>
      <c r="AA76" s="239"/>
      <c r="AB76" s="277"/>
      <c r="AD76" s="239"/>
      <c r="AE76" s="277"/>
      <c r="AG76" s="239"/>
      <c r="AH76" s="277"/>
      <c r="AJ76" s="239"/>
      <c r="AK76" s="277"/>
      <c r="AM76" s="239"/>
      <c r="AN76" s="277"/>
      <c r="AP76" s="239"/>
      <c r="AQ76" s="277"/>
      <c r="AS76" s="239"/>
      <c r="AT76" s="277"/>
      <c r="AV76" s="239"/>
      <c r="AW76" s="277"/>
      <c r="AY76" s="239"/>
      <c r="AZ76" s="277"/>
      <c r="BB76" s="239"/>
      <c r="BC76" s="277"/>
      <c r="BE76" s="239"/>
      <c r="BF76" s="277"/>
      <c r="BH76" s="239"/>
      <c r="BI76" s="277"/>
      <c r="BK76" s="239"/>
      <c r="BL76" s="277"/>
      <c r="BN76" s="239"/>
      <c r="BO76" s="277"/>
      <c r="BQ76" s="239"/>
      <c r="BR76" s="277"/>
      <c r="BT76" s="239"/>
      <c r="BU76" s="277"/>
      <c r="BW76" s="239"/>
      <c r="BX76" s="277"/>
      <c r="BZ76" s="239"/>
      <c r="CA76" s="239"/>
      <c r="CB76" s="239"/>
      <c r="CC76" s="239"/>
      <c r="CD76" s="239"/>
      <c r="CP76" s="239"/>
      <c r="CQ76" s="239"/>
      <c r="CR76" s="239"/>
      <c r="CS76" s="239"/>
      <c r="CT76" s="239"/>
      <c r="CU76" s="239"/>
      <c r="CV76" s="239"/>
      <c r="CX76" s="239"/>
      <c r="EQ76" s="119"/>
      <c r="ER76" s="119"/>
      <c r="ES76" s="119"/>
      <c r="ET76" s="119"/>
      <c r="EU76" s="119"/>
      <c r="EV76" s="119"/>
      <c r="EW76" s="119"/>
      <c r="EX76" s="119"/>
      <c r="EY76" s="119"/>
      <c r="EZ76" s="119"/>
      <c r="FA76" s="119"/>
      <c r="FB76" s="119"/>
    </row>
    <row r="77" spans="2:162" ht="13.5" customHeight="1" x14ac:dyDescent="0.2">
      <c r="B77" s="278"/>
      <c r="C77" s="278"/>
      <c r="D77" s="124"/>
      <c r="E77" s="124"/>
      <c r="F77" s="124"/>
      <c r="G77" s="124"/>
      <c r="H77" s="124"/>
      <c r="I77" s="124"/>
      <c r="J77" s="124"/>
      <c r="K77" s="124"/>
      <c r="L77" s="124"/>
      <c r="M77" s="278"/>
      <c r="N77" s="274"/>
      <c r="O77" s="239"/>
      <c r="P77" s="239"/>
      <c r="R77" s="239"/>
      <c r="S77" s="277"/>
      <c r="U77" s="239"/>
      <c r="V77" s="277"/>
      <c r="X77" s="239"/>
      <c r="Y77" s="277"/>
      <c r="AA77" s="239"/>
      <c r="AB77" s="277"/>
      <c r="AD77" s="239"/>
      <c r="AE77" s="277"/>
      <c r="AG77" s="239"/>
      <c r="AH77" s="277"/>
      <c r="AJ77" s="239"/>
      <c r="AK77" s="277"/>
      <c r="AM77" s="239"/>
      <c r="AN77" s="277"/>
      <c r="AP77" s="239"/>
      <c r="AQ77" s="277"/>
      <c r="AS77" s="239"/>
      <c r="AT77" s="277"/>
      <c r="AV77" s="239"/>
      <c r="AW77" s="277"/>
      <c r="AY77" s="239"/>
      <c r="AZ77" s="277"/>
      <c r="BB77" s="239"/>
      <c r="BC77" s="277"/>
      <c r="BE77" s="239"/>
      <c r="BF77" s="277"/>
      <c r="BH77" s="239"/>
      <c r="BI77" s="277"/>
      <c r="BK77" s="239"/>
      <c r="BL77" s="277"/>
      <c r="BN77" s="239"/>
      <c r="BO77" s="277"/>
      <c r="BQ77" s="239"/>
      <c r="BR77" s="277"/>
      <c r="BT77" s="239"/>
      <c r="BU77" s="277"/>
      <c r="BW77" s="239"/>
      <c r="BX77" s="277"/>
      <c r="BZ77" s="239"/>
      <c r="CA77" s="239"/>
      <c r="CB77" s="239"/>
      <c r="CC77" s="239"/>
      <c r="CD77" s="239"/>
      <c r="CP77" s="239"/>
      <c r="CQ77" s="239"/>
      <c r="CR77" s="239"/>
      <c r="CS77" s="239"/>
      <c r="CT77" s="239"/>
      <c r="CU77" s="239"/>
      <c r="CV77" s="239"/>
      <c r="CX77" s="239"/>
      <c r="EQ77" s="119"/>
      <c r="ER77" s="119"/>
      <c r="ES77" s="119"/>
      <c r="ET77" s="119"/>
      <c r="EU77" s="119"/>
      <c r="EV77" s="119"/>
      <c r="EW77" s="119"/>
      <c r="EX77" s="119"/>
      <c r="EY77" s="119"/>
      <c r="EZ77" s="119"/>
      <c r="FA77" s="119"/>
      <c r="FB77" s="119"/>
    </row>
    <row r="78" spans="2:162" ht="13.5" customHeight="1" x14ac:dyDescent="0.2">
      <c r="B78" s="278"/>
      <c r="C78" s="278"/>
      <c r="D78" s="124"/>
      <c r="E78" s="124"/>
      <c r="F78" s="124"/>
      <c r="G78" s="124"/>
      <c r="H78" s="124"/>
      <c r="I78" s="124"/>
      <c r="J78" s="124"/>
      <c r="K78" s="124"/>
      <c r="L78" s="124"/>
      <c r="M78" s="278"/>
      <c r="N78" s="274"/>
      <c r="O78" s="239"/>
      <c r="P78" s="239"/>
      <c r="R78" s="239"/>
      <c r="S78" s="277"/>
      <c r="U78" s="239"/>
      <c r="V78" s="277"/>
      <c r="X78" s="239"/>
      <c r="Y78" s="277"/>
      <c r="AA78" s="239"/>
      <c r="AB78" s="277"/>
      <c r="AD78" s="239"/>
      <c r="AE78" s="277"/>
      <c r="AG78" s="239"/>
      <c r="AH78" s="277"/>
      <c r="AJ78" s="239"/>
      <c r="AK78" s="277"/>
      <c r="AM78" s="239"/>
      <c r="AN78" s="277"/>
      <c r="AP78" s="239"/>
      <c r="AQ78" s="277"/>
      <c r="AS78" s="239"/>
      <c r="AT78" s="277"/>
      <c r="AV78" s="239"/>
      <c r="AW78" s="277"/>
      <c r="AY78" s="239"/>
      <c r="AZ78" s="277"/>
      <c r="BB78" s="239"/>
      <c r="BC78" s="277"/>
      <c r="BE78" s="239"/>
      <c r="BF78" s="277"/>
      <c r="BH78" s="239"/>
      <c r="BI78" s="277"/>
      <c r="BK78" s="239"/>
      <c r="BL78" s="277"/>
      <c r="BN78" s="239"/>
      <c r="BO78" s="277"/>
      <c r="BQ78" s="239"/>
      <c r="BR78" s="277"/>
      <c r="BT78" s="239"/>
      <c r="BU78" s="277"/>
      <c r="BW78" s="239"/>
      <c r="BX78" s="277"/>
      <c r="BZ78" s="239"/>
      <c r="CA78" s="239"/>
      <c r="CB78" s="239"/>
      <c r="CC78" s="239"/>
      <c r="CD78" s="239"/>
      <c r="CP78" s="239"/>
      <c r="CQ78" s="239"/>
      <c r="CR78" s="239"/>
      <c r="CS78" s="239"/>
      <c r="CT78" s="239"/>
      <c r="CU78" s="239"/>
      <c r="CV78" s="239"/>
      <c r="CX78" s="239"/>
      <c r="EQ78" s="119"/>
      <c r="ER78" s="119"/>
      <c r="ES78" s="119"/>
      <c r="ET78" s="119"/>
      <c r="EU78" s="119"/>
      <c r="EV78" s="119"/>
      <c r="EW78" s="119"/>
      <c r="EX78" s="119"/>
      <c r="EY78" s="119"/>
      <c r="EZ78" s="119"/>
      <c r="FA78" s="119"/>
      <c r="FB78" s="119"/>
    </row>
    <row r="79" spans="2:162" ht="13.5" customHeight="1" x14ac:dyDescent="0.2">
      <c r="B79" s="459" t="s">
        <v>45</v>
      </c>
      <c r="C79" s="459"/>
      <c r="D79" s="459"/>
      <c r="E79" s="459"/>
      <c r="F79" s="459"/>
      <c r="G79" s="459"/>
      <c r="H79" s="459"/>
      <c r="I79" s="459"/>
      <c r="J79" s="459"/>
      <c r="K79" s="459"/>
      <c r="L79" s="459"/>
      <c r="M79" s="459"/>
      <c r="N79" s="459"/>
      <c r="O79" s="459"/>
      <c r="P79" s="269"/>
      <c r="Q79" s="268"/>
      <c r="R79" s="124"/>
      <c r="S79" s="269"/>
      <c r="T79" s="124"/>
      <c r="U79" s="124"/>
      <c r="V79" s="269"/>
      <c r="W79" s="124"/>
      <c r="X79" s="124"/>
      <c r="Y79" s="269"/>
      <c r="Z79" s="124"/>
      <c r="AA79" s="124"/>
      <c r="AB79" s="269"/>
      <c r="AC79" s="124"/>
      <c r="AD79" s="124"/>
      <c r="AE79" s="269"/>
      <c r="AF79" s="124"/>
      <c r="AG79" s="124"/>
      <c r="AH79" s="269"/>
      <c r="AI79" s="124"/>
      <c r="AJ79" s="124"/>
      <c r="AK79" s="269"/>
      <c r="AL79" s="124"/>
      <c r="AM79" s="124"/>
      <c r="AN79" s="269"/>
      <c r="AO79" s="124"/>
      <c r="AP79" s="124"/>
      <c r="AQ79" s="269"/>
      <c r="AR79" s="124"/>
      <c r="AS79" s="124"/>
      <c r="AT79" s="269"/>
      <c r="AU79" s="124"/>
      <c r="AV79" s="124"/>
      <c r="AW79" s="269"/>
      <c r="AX79" s="124"/>
      <c r="AY79" s="124"/>
      <c r="AZ79" s="269"/>
      <c r="BA79" s="124"/>
      <c r="BB79" s="124"/>
      <c r="BC79" s="269"/>
      <c r="BD79" s="124"/>
      <c r="BE79" s="124"/>
      <c r="BF79" s="269"/>
      <c r="BG79" s="124"/>
      <c r="BH79" s="124"/>
      <c r="BI79" s="269"/>
      <c r="BJ79" s="124"/>
      <c r="BK79" s="124"/>
      <c r="BL79" s="269"/>
      <c r="BM79" s="124"/>
      <c r="BN79" s="124"/>
      <c r="BO79" s="269"/>
      <c r="BP79" s="124"/>
      <c r="BQ79" s="124"/>
      <c r="BR79" s="269"/>
      <c r="BS79" s="124"/>
      <c r="BT79" s="124"/>
      <c r="BU79" s="269"/>
      <c r="BV79" s="124"/>
      <c r="BW79" s="124"/>
      <c r="BX79" s="269"/>
      <c r="BY79" s="124"/>
      <c r="BZ79" s="239"/>
      <c r="CA79" s="239"/>
      <c r="CB79" s="239"/>
      <c r="CC79" s="239"/>
      <c r="CD79" s="239"/>
      <c r="EQ79" s="119"/>
      <c r="ER79" s="119"/>
      <c r="ES79" s="119"/>
      <c r="ET79" s="119"/>
      <c r="EU79" s="119"/>
      <c r="EV79" s="119"/>
      <c r="EW79" s="119"/>
      <c r="EX79" s="119"/>
      <c r="EY79" s="119"/>
      <c r="EZ79" s="119"/>
      <c r="FA79" s="119"/>
      <c r="FB79" s="119"/>
      <c r="FC79" s="119"/>
      <c r="FD79" s="119"/>
      <c r="FE79" s="119"/>
      <c r="FF79" s="119"/>
    </row>
    <row r="80" spans="2:162" ht="13.5" customHeight="1" x14ac:dyDescent="0.2">
      <c r="B80" s="454" t="s">
        <v>46</v>
      </c>
      <c r="C80" s="454"/>
      <c r="D80" s="454"/>
      <c r="E80" s="454"/>
      <c r="F80" s="454"/>
      <c r="G80" s="454"/>
      <c r="H80" s="454"/>
      <c r="I80" s="454"/>
      <c r="J80" s="454"/>
      <c r="K80" s="463"/>
      <c r="L80" s="463"/>
      <c r="M80" s="463"/>
      <c r="N80" s="463"/>
      <c r="O80" s="463"/>
      <c r="P80" s="269"/>
      <c r="Q80" s="268"/>
      <c r="R80" s="124"/>
      <c r="S80" s="269"/>
      <c r="T80" s="124"/>
      <c r="U80" s="124"/>
      <c r="V80" s="269"/>
      <c r="W80" s="124"/>
      <c r="X80" s="124"/>
      <c r="Y80" s="269"/>
      <c r="Z80" s="124"/>
      <c r="AA80" s="124"/>
      <c r="AB80" s="269"/>
      <c r="AC80" s="124"/>
      <c r="AD80" s="124"/>
      <c r="AE80" s="269"/>
      <c r="AF80" s="124"/>
      <c r="AG80" s="124"/>
      <c r="AH80" s="269"/>
      <c r="AI80" s="124"/>
      <c r="AJ80" s="124"/>
      <c r="AK80" s="269"/>
      <c r="AL80" s="124"/>
      <c r="AM80" s="124"/>
      <c r="AN80" s="269"/>
      <c r="AO80" s="124"/>
      <c r="AP80" s="124"/>
      <c r="AQ80" s="269"/>
      <c r="AR80" s="124"/>
      <c r="AS80" s="124"/>
      <c r="AT80" s="269"/>
      <c r="AU80" s="124"/>
      <c r="AV80" s="124"/>
      <c r="AW80" s="269"/>
      <c r="AX80" s="124"/>
      <c r="AY80" s="124"/>
      <c r="AZ80" s="269"/>
      <c r="BA80" s="124"/>
      <c r="BB80" s="124"/>
      <c r="BC80" s="269"/>
      <c r="BD80" s="124"/>
      <c r="BE80" s="124"/>
      <c r="BF80" s="269"/>
      <c r="BG80" s="124"/>
      <c r="BH80" s="124"/>
      <c r="BI80" s="269"/>
      <c r="BJ80" s="124"/>
      <c r="BK80" s="124"/>
      <c r="BL80" s="269"/>
      <c r="BM80" s="124"/>
      <c r="BN80" s="124"/>
      <c r="BO80" s="269"/>
      <c r="BP80" s="124"/>
      <c r="BQ80" s="124"/>
      <c r="BR80" s="269"/>
      <c r="BS80" s="124"/>
      <c r="BT80" s="124"/>
      <c r="BU80" s="269"/>
      <c r="BV80" s="124"/>
      <c r="BW80" s="124"/>
      <c r="BX80" s="269"/>
      <c r="BY80" s="124"/>
      <c r="BZ80" s="239"/>
      <c r="CA80" s="239"/>
      <c r="CB80" s="239"/>
      <c r="CC80" s="239"/>
      <c r="CD80" s="239"/>
      <c r="EQ80" s="119"/>
      <c r="ER80" s="119"/>
      <c r="ES80" s="119"/>
      <c r="ET80" s="119"/>
      <c r="EU80" s="119"/>
      <c r="EV80" s="119"/>
      <c r="EW80" s="119"/>
      <c r="EX80" s="119"/>
      <c r="EY80" s="119"/>
      <c r="EZ80" s="119"/>
      <c r="FA80" s="119"/>
      <c r="FB80" s="119"/>
      <c r="FC80" s="119"/>
      <c r="FD80" s="119"/>
      <c r="FE80" s="119"/>
      <c r="FF80" s="119"/>
    </row>
    <row r="81" spans="2:162" ht="13.5" customHeight="1" x14ac:dyDescent="0.2">
      <c r="B81" s="454" t="s">
        <v>112</v>
      </c>
      <c r="C81" s="454"/>
      <c r="D81" s="454"/>
      <c r="E81" s="454"/>
      <c r="F81" s="454"/>
      <c r="G81" s="454"/>
      <c r="H81" s="454"/>
      <c r="I81" s="454"/>
      <c r="J81" s="454"/>
      <c r="K81" s="463"/>
      <c r="L81" s="463"/>
      <c r="M81" s="463"/>
      <c r="N81" s="463"/>
      <c r="O81" s="463"/>
      <c r="P81" s="269"/>
      <c r="Q81" s="268"/>
      <c r="R81" s="124"/>
      <c r="S81" s="269"/>
      <c r="T81" s="124"/>
      <c r="U81" s="124"/>
      <c r="V81" s="269"/>
      <c r="W81" s="124"/>
      <c r="X81" s="124"/>
      <c r="Y81" s="269"/>
      <c r="Z81" s="124"/>
      <c r="AA81" s="124"/>
      <c r="AB81" s="269"/>
      <c r="AC81" s="124"/>
      <c r="AD81" s="124"/>
      <c r="AE81" s="269"/>
      <c r="AF81" s="124"/>
      <c r="AG81" s="124"/>
      <c r="AH81" s="269"/>
      <c r="AI81" s="124"/>
      <c r="AJ81" s="124"/>
      <c r="AK81" s="269"/>
      <c r="AL81" s="124"/>
      <c r="AM81" s="124"/>
      <c r="AN81" s="269"/>
      <c r="AO81" s="124"/>
      <c r="AP81" s="124"/>
      <c r="AQ81" s="269"/>
      <c r="AR81" s="124"/>
      <c r="AS81" s="124"/>
      <c r="AT81" s="269"/>
      <c r="AU81" s="124"/>
      <c r="AV81" s="124"/>
      <c r="AW81" s="269"/>
      <c r="AX81" s="124"/>
      <c r="AY81" s="124"/>
      <c r="AZ81" s="269"/>
      <c r="BA81" s="124"/>
      <c r="BB81" s="124"/>
      <c r="BC81" s="269"/>
      <c r="BD81" s="124"/>
      <c r="BE81" s="124"/>
      <c r="BF81" s="269"/>
      <c r="BG81" s="124"/>
      <c r="BH81" s="124"/>
      <c r="BI81" s="269"/>
      <c r="BJ81" s="124"/>
      <c r="BK81" s="124"/>
      <c r="BL81" s="269"/>
      <c r="BM81" s="124"/>
      <c r="BN81" s="124"/>
      <c r="BO81" s="269"/>
      <c r="BP81" s="124"/>
      <c r="BQ81" s="124"/>
      <c r="BR81" s="269"/>
      <c r="BS81" s="124"/>
      <c r="BT81" s="124"/>
      <c r="BU81" s="269"/>
      <c r="BV81" s="124"/>
      <c r="BW81" s="124"/>
      <c r="BX81" s="269"/>
      <c r="BY81" s="124"/>
      <c r="BZ81" s="239"/>
      <c r="CA81" s="239"/>
      <c r="CB81" s="239"/>
      <c r="CC81" s="239"/>
      <c r="CD81" s="239"/>
      <c r="EQ81" s="119"/>
      <c r="ER81" s="119"/>
      <c r="ES81" s="119"/>
      <c r="ET81" s="119"/>
      <c r="EU81" s="119"/>
      <c r="EV81" s="119"/>
      <c r="EW81" s="119"/>
      <c r="EX81" s="119"/>
      <c r="EY81" s="119"/>
      <c r="EZ81" s="119"/>
      <c r="FA81" s="119"/>
      <c r="FB81" s="119"/>
      <c r="FC81" s="119"/>
      <c r="FD81" s="119"/>
      <c r="FE81" s="119"/>
      <c r="FF81" s="119"/>
    </row>
    <row r="82" spans="2:162" ht="13.5" customHeight="1" x14ac:dyDescent="0.2">
      <c r="B82" s="454" t="s">
        <v>47</v>
      </c>
      <c r="C82" s="454"/>
      <c r="D82" s="454"/>
      <c r="E82" s="454"/>
      <c r="F82" s="454"/>
      <c r="G82" s="454"/>
      <c r="H82" s="454"/>
      <c r="I82" s="454"/>
      <c r="J82" s="454"/>
      <c r="K82" s="454"/>
      <c r="L82" s="454"/>
      <c r="M82" s="454"/>
      <c r="N82" s="454"/>
      <c r="O82" s="454"/>
      <c r="P82" s="117"/>
      <c r="Q82" s="117"/>
      <c r="R82" s="124"/>
      <c r="S82" s="124"/>
      <c r="T82" s="124"/>
      <c r="U82" s="124"/>
      <c r="V82" s="124"/>
      <c r="W82" s="124"/>
      <c r="X82" s="124"/>
      <c r="Y82" s="124"/>
      <c r="Z82" s="124"/>
      <c r="AA82" s="124"/>
      <c r="AB82" s="124"/>
      <c r="AC82" s="124"/>
      <c r="AD82" s="124"/>
      <c r="AE82" s="124"/>
      <c r="AF82" s="124"/>
      <c r="AG82" s="124"/>
      <c r="AH82" s="124"/>
      <c r="AI82" s="124"/>
      <c r="AJ82" s="124"/>
      <c r="AK82" s="124"/>
      <c r="AL82" s="124"/>
      <c r="AM82" s="124"/>
      <c r="AN82" s="124"/>
      <c r="AO82" s="124"/>
      <c r="AP82" s="124"/>
      <c r="AQ82" s="124"/>
      <c r="AR82" s="124"/>
      <c r="AS82" s="124"/>
      <c r="AT82" s="124"/>
      <c r="AU82" s="124"/>
      <c r="AV82" s="124"/>
      <c r="AW82" s="124"/>
      <c r="AX82" s="124"/>
      <c r="AY82" s="124"/>
      <c r="AZ82" s="124"/>
      <c r="BA82" s="124"/>
      <c r="BB82" s="124"/>
      <c r="BC82" s="124"/>
      <c r="BD82" s="124"/>
      <c r="BE82" s="124"/>
      <c r="BF82" s="124"/>
      <c r="BG82" s="124"/>
      <c r="BH82" s="124"/>
      <c r="BI82" s="124"/>
      <c r="BJ82" s="124"/>
      <c r="BK82" s="124"/>
      <c r="BL82" s="124"/>
      <c r="BM82" s="124"/>
      <c r="BN82" s="124"/>
      <c r="BO82" s="124"/>
      <c r="BP82" s="124"/>
      <c r="BQ82" s="124"/>
      <c r="BR82" s="124"/>
      <c r="BS82" s="124"/>
      <c r="BT82" s="124"/>
      <c r="BU82" s="124"/>
      <c r="BV82" s="124"/>
      <c r="BW82" s="124"/>
      <c r="BX82" s="124"/>
      <c r="BY82" s="124"/>
      <c r="BZ82" s="239"/>
      <c r="CA82" s="239"/>
      <c r="CB82" s="239"/>
      <c r="CC82" s="239"/>
      <c r="CD82" s="239"/>
      <c r="EQ82" s="119"/>
      <c r="ER82" s="119"/>
      <c r="ES82" s="119"/>
      <c r="ET82" s="119"/>
      <c r="EU82" s="119"/>
      <c r="EV82" s="119"/>
      <c r="EW82" s="119"/>
      <c r="EX82" s="119"/>
      <c r="EY82" s="119"/>
      <c r="EZ82" s="119"/>
      <c r="FA82" s="119"/>
      <c r="FB82" s="119"/>
      <c r="FC82" s="119"/>
      <c r="FD82" s="119"/>
      <c r="FE82" s="119"/>
      <c r="FF82" s="119"/>
    </row>
    <row r="83" spans="2:162" ht="13.5" customHeight="1" x14ac:dyDescent="0.2">
      <c r="B83" s="454"/>
      <c r="C83" s="454"/>
      <c r="D83" s="454"/>
      <c r="E83" s="454"/>
      <c r="F83" s="454"/>
      <c r="G83" s="454"/>
      <c r="H83" s="454"/>
      <c r="I83" s="454"/>
      <c r="J83" s="454"/>
      <c r="K83" s="454"/>
      <c r="L83" s="454"/>
      <c r="M83" s="454"/>
      <c r="N83" s="454"/>
      <c r="O83" s="454"/>
      <c r="P83" s="117"/>
      <c r="Q83" s="117"/>
      <c r="R83" s="124"/>
      <c r="S83" s="124"/>
      <c r="T83" s="124"/>
      <c r="U83" s="124"/>
      <c r="V83" s="124"/>
      <c r="W83" s="124"/>
      <c r="X83" s="124"/>
      <c r="Y83" s="124"/>
      <c r="Z83" s="124"/>
      <c r="AA83" s="124"/>
      <c r="AB83" s="124"/>
      <c r="AC83" s="124"/>
      <c r="AD83" s="124"/>
      <c r="AE83" s="124"/>
      <c r="AF83" s="124"/>
      <c r="AG83" s="124"/>
      <c r="AH83" s="124"/>
      <c r="AI83" s="124"/>
      <c r="AJ83" s="124"/>
      <c r="AK83" s="124"/>
      <c r="AL83" s="124"/>
      <c r="AM83" s="124"/>
      <c r="AN83" s="124"/>
      <c r="AO83" s="124"/>
      <c r="AP83" s="124"/>
      <c r="AQ83" s="124"/>
      <c r="AR83" s="124"/>
      <c r="AS83" s="124"/>
      <c r="AT83" s="124"/>
      <c r="AU83" s="124"/>
      <c r="AV83" s="124"/>
      <c r="AW83" s="124"/>
      <c r="AX83" s="124"/>
      <c r="AY83" s="124"/>
      <c r="AZ83" s="124"/>
      <c r="BA83" s="124"/>
      <c r="BB83" s="124"/>
      <c r="BC83" s="124"/>
      <c r="BD83" s="124"/>
      <c r="BE83" s="124"/>
      <c r="BF83" s="124"/>
      <c r="BG83" s="124"/>
      <c r="BH83" s="124"/>
      <c r="BI83" s="124"/>
      <c r="BJ83" s="124"/>
      <c r="BK83" s="124"/>
      <c r="BL83" s="124"/>
      <c r="BM83" s="124"/>
      <c r="BN83" s="124"/>
      <c r="BO83" s="124"/>
      <c r="BP83" s="124"/>
      <c r="BQ83" s="124"/>
      <c r="BR83" s="124"/>
      <c r="BS83" s="124"/>
      <c r="BT83" s="124"/>
      <c r="BU83" s="124"/>
      <c r="BV83" s="124"/>
      <c r="BW83" s="124"/>
      <c r="BX83" s="124"/>
      <c r="BY83" s="124"/>
      <c r="BZ83" s="239"/>
      <c r="CA83" s="239"/>
      <c r="CB83" s="239"/>
      <c r="CC83" s="239"/>
      <c r="CD83" s="239"/>
      <c r="EQ83" s="119"/>
      <c r="ER83" s="119"/>
      <c r="ES83" s="119"/>
      <c r="ET83" s="119"/>
      <c r="EU83" s="119"/>
      <c r="EV83" s="119"/>
      <c r="EW83" s="119"/>
      <c r="EX83" s="119"/>
      <c r="EY83" s="119"/>
      <c r="EZ83" s="119"/>
      <c r="FA83" s="119"/>
      <c r="FB83" s="119"/>
      <c r="FC83" s="119"/>
      <c r="FD83" s="119"/>
      <c r="FE83" s="119"/>
      <c r="FF83" s="119"/>
    </row>
    <row r="84" spans="2:162" ht="13.5" customHeight="1" x14ac:dyDescent="0.2">
      <c r="B84" s="462" t="s">
        <v>118</v>
      </c>
      <c r="C84" s="462"/>
      <c r="D84" s="462"/>
      <c r="E84" s="462"/>
      <c r="F84" s="462"/>
      <c r="G84" s="462"/>
      <c r="H84" s="462"/>
      <c r="I84" s="462"/>
      <c r="J84" s="462"/>
      <c r="K84" s="462"/>
      <c r="L84" s="462"/>
      <c r="M84" s="462"/>
      <c r="N84" s="462"/>
      <c r="O84" s="462"/>
      <c r="P84" s="117"/>
      <c r="Q84" s="117"/>
      <c r="R84" s="124"/>
      <c r="S84" s="124"/>
      <c r="T84" s="124"/>
      <c r="U84" s="124"/>
      <c r="V84" s="124"/>
      <c r="W84" s="124"/>
      <c r="X84" s="124"/>
      <c r="Y84" s="124"/>
      <c r="Z84" s="124"/>
      <c r="AA84" s="124"/>
      <c r="AB84" s="124"/>
      <c r="AC84" s="124"/>
      <c r="AD84" s="124"/>
      <c r="AE84" s="124"/>
      <c r="AF84" s="124"/>
      <c r="AG84" s="124"/>
      <c r="AH84" s="124"/>
      <c r="AI84" s="124"/>
      <c r="AJ84" s="124"/>
      <c r="AK84" s="124"/>
      <c r="AL84" s="124"/>
      <c r="AM84" s="124"/>
      <c r="AN84" s="124"/>
      <c r="AO84" s="124"/>
      <c r="AP84" s="124"/>
      <c r="AQ84" s="124"/>
      <c r="AR84" s="124"/>
      <c r="AS84" s="124"/>
      <c r="AT84" s="124"/>
      <c r="AU84" s="124"/>
      <c r="AV84" s="124"/>
      <c r="AW84" s="124"/>
      <c r="AX84" s="124"/>
      <c r="AY84" s="124"/>
      <c r="AZ84" s="124"/>
      <c r="BA84" s="124"/>
      <c r="BB84" s="124"/>
      <c r="BC84" s="124"/>
      <c r="BD84" s="124"/>
      <c r="BE84" s="124"/>
      <c r="BF84" s="124"/>
      <c r="BG84" s="124"/>
      <c r="BH84" s="124"/>
      <c r="BI84" s="124"/>
      <c r="BJ84" s="124"/>
      <c r="BK84" s="124"/>
      <c r="BL84" s="124"/>
      <c r="BM84" s="124"/>
      <c r="BN84" s="124"/>
      <c r="BO84" s="124"/>
      <c r="BP84" s="124"/>
      <c r="BQ84" s="124"/>
      <c r="BR84" s="124"/>
      <c r="BS84" s="124"/>
      <c r="BT84" s="124"/>
      <c r="BU84" s="124"/>
      <c r="BV84" s="124"/>
      <c r="BW84" s="124"/>
      <c r="BX84" s="124"/>
      <c r="BY84" s="124"/>
      <c r="BZ84" s="239"/>
      <c r="CA84" s="239"/>
      <c r="CB84" s="239"/>
      <c r="CC84" s="239"/>
      <c r="CD84" s="239"/>
      <c r="EQ84" s="119"/>
      <c r="ER84" s="119"/>
      <c r="ES84" s="119"/>
      <c r="ET84" s="119"/>
      <c r="EU84" s="119"/>
      <c r="EV84" s="119"/>
      <c r="EW84" s="119"/>
      <c r="EX84" s="119"/>
      <c r="EY84" s="119"/>
      <c r="EZ84" s="119"/>
      <c r="FA84" s="119"/>
      <c r="FB84" s="119"/>
      <c r="FC84" s="119"/>
      <c r="FD84" s="119"/>
      <c r="FE84" s="119"/>
      <c r="FF84" s="119"/>
    </row>
    <row r="85" spans="2:162" ht="13.5" customHeight="1" x14ac:dyDescent="0.2">
      <c r="B85" s="454"/>
      <c r="C85" s="454"/>
      <c r="D85" s="454"/>
      <c r="E85" s="454"/>
      <c r="F85" s="454"/>
      <c r="G85" s="454"/>
      <c r="H85" s="454"/>
      <c r="I85" s="454"/>
      <c r="J85" s="454"/>
      <c r="K85" s="454"/>
      <c r="L85" s="454"/>
      <c r="M85" s="454"/>
      <c r="N85" s="454"/>
      <c r="O85" s="454"/>
      <c r="P85" s="117"/>
      <c r="Q85" s="117"/>
      <c r="R85" s="124"/>
      <c r="S85" s="124"/>
      <c r="T85" s="124"/>
      <c r="U85" s="124"/>
      <c r="V85" s="124"/>
      <c r="W85" s="124"/>
      <c r="X85" s="124"/>
      <c r="Y85" s="124"/>
      <c r="Z85" s="124"/>
      <c r="AA85" s="124"/>
      <c r="AB85" s="124"/>
      <c r="AC85" s="124"/>
      <c r="AD85" s="124"/>
      <c r="AE85" s="124"/>
      <c r="AF85" s="124"/>
      <c r="AG85" s="124"/>
      <c r="AH85" s="124"/>
      <c r="AI85" s="124"/>
      <c r="AJ85" s="124"/>
      <c r="AK85" s="124"/>
      <c r="AL85" s="124"/>
      <c r="AM85" s="124"/>
      <c r="AN85" s="124"/>
      <c r="AO85" s="124"/>
      <c r="AP85" s="124"/>
      <c r="AQ85" s="124"/>
      <c r="AR85" s="124"/>
      <c r="AS85" s="124"/>
      <c r="AT85" s="124"/>
      <c r="AU85" s="124"/>
      <c r="AV85" s="124"/>
      <c r="AW85" s="124"/>
      <c r="AX85" s="124"/>
      <c r="AY85" s="124"/>
      <c r="AZ85" s="124"/>
      <c r="BA85" s="124"/>
      <c r="BB85" s="124"/>
      <c r="BC85" s="124"/>
      <c r="BD85" s="124"/>
      <c r="BE85" s="124"/>
      <c r="BF85" s="124"/>
      <c r="BG85" s="124"/>
      <c r="BH85" s="124"/>
      <c r="BI85" s="124"/>
      <c r="BJ85" s="124"/>
      <c r="BK85" s="124"/>
      <c r="BL85" s="124"/>
      <c r="BM85" s="124"/>
      <c r="BN85" s="124"/>
      <c r="BO85" s="124"/>
      <c r="BP85" s="124"/>
      <c r="BQ85" s="124"/>
      <c r="BR85" s="124"/>
      <c r="BS85" s="124"/>
      <c r="BT85" s="124"/>
      <c r="BU85" s="124"/>
      <c r="BV85" s="124"/>
      <c r="BW85" s="124"/>
      <c r="BX85" s="124"/>
      <c r="BY85" s="124"/>
      <c r="BZ85" s="239"/>
      <c r="CA85" s="239"/>
      <c r="CB85" s="239"/>
      <c r="CC85" s="239"/>
      <c r="CD85" s="239"/>
      <c r="EQ85" s="119"/>
      <c r="ER85" s="119"/>
      <c r="ES85" s="119"/>
      <c r="ET85" s="119"/>
      <c r="EU85" s="119"/>
      <c r="EV85" s="119"/>
      <c r="EW85" s="119"/>
      <c r="EX85" s="119"/>
      <c r="EY85" s="119"/>
      <c r="EZ85" s="119"/>
      <c r="FA85" s="119"/>
      <c r="FB85" s="119"/>
      <c r="FC85" s="119"/>
      <c r="FD85" s="119"/>
      <c r="FE85" s="119"/>
      <c r="FF85" s="119"/>
    </row>
    <row r="86" spans="2:162" ht="13.5" customHeight="1" x14ac:dyDescent="0.2">
      <c r="B86" s="459" t="s">
        <v>48</v>
      </c>
      <c r="C86" s="459"/>
      <c r="D86" s="459"/>
      <c r="E86" s="459"/>
      <c r="F86" s="459"/>
      <c r="G86" s="459"/>
      <c r="H86" s="459"/>
      <c r="I86" s="459"/>
      <c r="J86" s="459"/>
      <c r="K86" s="459"/>
      <c r="L86" s="459"/>
      <c r="M86" s="459"/>
      <c r="N86" s="459"/>
      <c r="O86" s="459"/>
      <c r="P86" s="124"/>
      <c r="Q86" s="124"/>
      <c r="R86" s="124"/>
      <c r="S86" s="124"/>
      <c r="T86" s="124"/>
      <c r="U86" s="124"/>
      <c r="V86" s="124"/>
      <c r="W86" s="124"/>
      <c r="X86" s="124"/>
      <c r="Y86" s="124"/>
      <c r="Z86" s="124"/>
      <c r="AA86" s="124"/>
      <c r="AB86" s="124"/>
      <c r="AC86" s="124"/>
      <c r="AD86" s="124"/>
      <c r="AE86" s="124"/>
      <c r="AF86" s="124"/>
      <c r="AG86" s="124"/>
      <c r="AH86" s="124"/>
      <c r="AI86" s="124"/>
      <c r="AJ86" s="124"/>
      <c r="AK86" s="124"/>
      <c r="AL86" s="124"/>
      <c r="AM86" s="124"/>
      <c r="AN86" s="124"/>
      <c r="AO86" s="124"/>
      <c r="AP86" s="124"/>
      <c r="AQ86" s="124"/>
      <c r="AR86" s="124"/>
      <c r="AS86" s="124"/>
      <c r="AT86" s="124"/>
      <c r="AU86" s="124"/>
      <c r="AV86" s="124"/>
      <c r="AW86" s="124"/>
      <c r="AX86" s="124"/>
      <c r="AY86" s="124"/>
      <c r="AZ86" s="124"/>
      <c r="BA86" s="124"/>
      <c r="BB86" s="124"/>
      <c r="BC86" s="124"/>
      <c r="BD86" s="124"/>
      <c r="BE86" s="124"/>
      <c r="BF86" s="124"/>
      <c r="BG86" s="124"/>
      <c r="BH86" s="124"/>
      <c r="BI86" s="124"/>
      <c r="BJ86" s="124"/>
      <c r="BK86" s="124"/>
      <c r="BL86" s="124"/>
      <c r="BM86" s="124"/>
      <c r="BN86" s="124"/>
      <c r="BO86" s="124"/>
      <c r="BP86" s="124"/>
      <c r="BQ86" s="124"/>
      <c r="BR86" s="124"/>
      <c r="BS86" s="124"/>
      <c r="BT86" s="124"/>
      <c r="BU86" s="124"/>
      <c r="BV86" s="124"/>
      <c r="BW86" s="124"/>
      <c r="BX86" s="124"/>
      <c r="BY86" s="124"/>
      <c r="EQ86" s="119"/>
      <c r="ER86" s="119"/>
      <c r="ES86" s="119"/>
      <c r="ET86" s="119"/>
      <c r="EU86" s="119"/>
      <c r="EV86" s="119"/>
      <c r="EW86" s="119"/>
      <c r="EX86" s="119"/>
      <c r="EY86" s="119"/>
      <c r="EZ86" s="119"/>
      <c r="FA86" s="119"/>
      <c r="FB86" s="119"/>
    </row>
    <row r="87" spans="2:162" ht="13.5" customHeight="1" x14ac:dyDescent="0.2">
      <c r="B87" s="454" t="s">
        <v>132</v>
      </c>
      <c r="C87" s="454"/>
      <c r="D87" s="454"/>
      <c r="E87" s="454"/>
      <c r="F87" s="454"/>
      <c r="G87" s="454"/>
      <c r="H87" s="454"/>
      <c r="I87" s="454"/>
      <c r="J87" s="454"/>
      <c r="K87" s="454"/>
      <c r="L87" s="454"/>
      <c r="M87" s="454"/>
      <c r="N87" s="454"/>
      <c r="O87" s="454"/>
      <c r="P87" s="117"/>
      <c r="Q87" s="124"/>
      <c r="R87" s="124"/>
      <c r="S87" s="124"/>
      <c r="T87" s="124"/>
      <c r="U87" s="124"/>
      <c r="V87" s="124"/>
      <c r="W87" s="124"/>
      <c r="X87" s="124"/>
      <c r="Y87" s="124"/>
      <c r="Z87" s="124"/>
      <c r="AA87" s="124"/>
      <c r="AB87" s="124"/>
      <c r="AC87" s="124"/>
      <c r="AD87" s="124"/>
      <c r="AE87" s="124"/>
      <c r="AF87" s="124"/>
      <c r="AG87" s="124"/>
      <c r="AH87" s="124"/>
      <c r="AI87" s="124"/>
      <c r="AJ87" s="124"/>
      <c r="AK87" s="124"/>
      <c r="AL87" s="124"/>
      <c r="AM87" s="124"/>
      <c r="AN87" s="124"/>
      <c r="AO87" s="124"/>
      <c r="AP87" s="124"/>
      <c r="AQ87" s="124"/>
      <c r="AR87" s="124"/>
      <c r="AS87" s="124"/>
      <c r="AT87" s="124"/>
      <c r="AU87" s="124"/>
      <c r="AV87" s="124"/>
      <c r="AW87" s="124"/>
      <c r="AX87" s="124"/>
      <c r="AY87" s="124"/>
      <c r="AZ87" s="124"/>
      <c r="BA87" s="124"/>
      <c r="BB87" s="124"/>
      <c r="BC87" s="124"/>
      <c r="BD87" s="124"/>
      <c r="BE87" s="124"/>
      <c r="BF87" s="124"/>
      <c r="BG87" s="124"/>
      <c r="BH87" s="124"/>
      <c r="BI87" s="124"/>
      <c r="BJ87" s="124"/>
      <c r="BK87" s="124"/>
      <c r="BL87" s="124"/>
      <c r="BM87" s="124"/>
      <c r="BN87" s="124"/>
      <c r="BO87" s="124"/>
      <c r="BP87" s="124"/>
      <c r="BQ87" s="124"/>
      <c r="BR87" s="124"/>
      <c r="BS87" s="124"/>
      <c r="BT87" s="124"/>
      <c r="BU87" s="124"/>
      <c r="BV87" s="124"/>
      <c r="BW87" s="124"/>
      <c r="BX87" s="124"/>
      <c r="BY87" s="124"/>
      <c r="EQ87" s="119"/>
      <c r="ER87" s="119"/>
      <c r="ES87" s="119"/>
      <c r="ET87" s="119"/>
      <c r="EU87" s="119"/>
      <c r="EV87" s="119"/>
      <c r="EW87" s="119"/>
      <c r="EX87" s="119"/>
      <c r="EY87" s="119"/>
      <c r="EZ87" s="119"/>
      <c r="FA87" s="119"/>
      <c r="FB87" s="119"/>
    </row>
    <row r="88" spans="2:162" ht="13.5" customHeight="1" x14ac:dyDescent="0.2">
      <c r="B88" s="454"/>
      <c r="C88" s="454"/>
      <c r="D88" s="454"/>
      <c r="E88" s="454"/>
      <c r="F88" s="454"/>
      <c r="G88" s="454"/>
      <c r="H88" s="454"/>
      <c r="I88" s="454"/>
      <c r="J88" s="454"/>
      <c r="K88" s="454"/>
      <c r="L88" s="454"/>
      <c r="M88" s="454"/>
      <c r="N88" s="454"/>
      <c r="O88" s="454"/>
      <c r="P88" s="117"/>
      <c r="Q88" s="124"/>
      <c r="R88" s="124"/>
      <c r="S88" s="124"/>
      <c r="T88" s="124"/>
      <c r="U88" s="124"/>
      <c r="V88" s="124"/>
      <c r="W88" s="124"/>
      <c r="X88" s="124"/>
      <c r="Y88" s="124"/>
      <c r="Z88" s="124"/>
      <c r="AA88" s="124"/>
      <c r="AB88" s="124"/>
      <c r="AC88" s="124"/>
      <c r="AD88" s="124"/>
      <c r="AE88" s="124"/>
      <c r="AF88" s="124"/>
      <c r="AG88" s="124"/>
      <c r="AH88" s="124"/>
      <c r="AI88" s="124"/>
      <c r="AJ88" s="124"/>
      <c r="AK88" s="124"/>
      <c r="AL88" s="124"/>
      <c r="AM88" s="124"/>
      <c r="AN88" s="124"/>
      <c r="AO88" s="124"/>
      <c r="AP88" s="124"/>
      <c r="AQ88" s="124"/>
      <c r="AR88" s="124"/>
      <c r="AS88" s="124"/>
      <c r="AT88" s="124"/>
      <c r="AU88" s="124"/>
      <c r="AV88" s="124"/>
      <c r="AW88" s="124"/>
      <c r="AX88" s="124"/>
      <c r="AY88" s="124"/>
      <c r="AZ88" s="124"/>
      <c r="BA88" s="124"/>
      <c r="BB88" s="124"/>
      <c r="BC88" s="124"/>
      <c r="BD88" s="124"/>
      <c r="BE88" s="124"/>
      <c r="BF88" s="124"/>
      <c r="BG88" s="124"/>
      <c r="BH88" s="124"/>
      <c r="BI88" s="124"/>
      <c r="BJ88" s="124"/>
      <c r="BK88" s="124"/>
      <c r="BL88" s="124"/>
      <c r="BM88" s="124"/>
      <c r="BN88" s="124"/>
      <c r="BO88" s="124"/>
      <c r="BP88" s="124"/>
      <c r="BQ88" s="124"/>
      <c r="BR88" s="124"/>
      <c r="BS88" s="124"/>
      <c r="BT88" s="124"/>
      <c r="BU88" s="124"/>
      <c r="BV88" s="124"/>
      <c r="BW88" s="124"/>
      <c r="BX88" s="124"/>
      <c r="BY88" s="124"/>
      <c r="EQ88" s="119"/>
      <c r="ER88" s="119"/>
      <c r="ES88" s="119"/>
      <c r="ET88" s="119"/>
      <c r="EU88" s="119"/>
      <c r="EV88" s="119"/>
      <c r="EW88" s="119"/>
      <c r="EX88" s="119"/>
      <c r="EY88" s="119"/>
      <c r="EZ88" s="119"/>
      <c r="FA88" s="119"/>
      <c r="FB88" s="119"/>
    </row>
    <row r="89" spans="2:162" ht="13.5" customHeight="1" x14ac:dyDescent="0.2">
      <c r="B89" s="459" t="s">
        <v>111</v>
      </c>
      <c r="C89" s="459"/>
      <c r="D89" s="459"/>
      <c r="E89" s="459"/>
      <c r="F89" s="459"/>
      <c r="G89" s="459"/>
      <c r="H89" s="459"/>
      <c r="I89" s="459"/>
      <c r="J89" s="459"/>
      <c r="K89" s="459"/>
      <c r="L89" s="459"/>
      <c r="M89" s="459"/>
      <c r="N89" s="459"/>
      <c r="O89" s="459"/>
      <c r="P89" s="124"/>
      <c r="Q89" s="122"/>
      <c r="R89" s="122"/>
      <c r="S89" s="122"/>
      <c r="T89" s="124"/>
      <c r="U89" s="122"/>
      <c r="V89" s="122"/>
      <c r="W89" s="124"/>
      <c r="X89" s="122"/>
      <c r="Y89" s="122"/>
      <c r="Z89" s="124"/>
      <c r="AA89" s="122"/>
      <c r="AB89" s="122"/>
      <c r="AC89" s="124"/>
      <c r="AD89" s="122"/>
      <c r="AE89" s="122"/>
      <c r="AF89" s="124"/>
      <c r="AG89" s="122"/>
      <c r="AH89" s="122"/>
      <c r="AI89" s="124"/>
      <c r="AJ89" s="122"/>
      <c r="AK89" s="122"/>
      <c r="AL89" s="124"/>
      <c r="AM89" s="122"/>
      <c r="AN89" s="122"/>
      <c r="AO89" s="124"/>
      <c r="AP89" s="122"/>
      <c r="AQ89" s="122"/>
      <c r="AR89" s="124"/>
      <c r="AS89" s="122"/>
      <c r="AT89" s="122"/>
      <c r="AU89" s="124"/>
      <c r="AV89" s="122"/>
      <c r="AW89" s="122"/>
      <c r="AX89" s="124"/>
      <c r="AY89" s="122"/>
      <c r="AZ89" s="122"/>
      <c r="BA89" s="124"/>
      <c r="BB89" s="122"/>
      <c r="BC89" s="122"/>
      <c r="BD89" s="124"/>
      <c r="BE89" s="122"/>
      <c r="BF89" s="122"/>
      <c r="BG89" s="124"/>
      <c r="BH89" s="122"/>
      <c r="BI89" s="122"/>
      <c r="BJ89" s="124"/>
      <c r="BK89" s="122"/>
      <c r="BL89" s="122"/>
      <c r="BM89" s="124"/>
      <c r="BN89" s="122"/>
      <c r="BO89" s="122"/>
      <c r="BP89" s="124"/>
      <c r="BQ89" s="122"/>
      <c r="BR89" s="122"/>
      <c r="BS89" s="124"/>
      <c r="BT89" s="122"/>
      <c r="BU89" s="122"/>
      <c r="BV89" s="124"/>
      <c r="BW89" s="122"/>
      <c r="BX89" s="122"/>
      <c r="BY89" s="124"/>
      <c r="EQ89" s="119"/>
      <c r="ER89" s="119"/>
      <c r="ES89" s="119"/>
      <c r="ET89" s="119"/>
      <c r="EU89" s="119"/>
      <c r="EV89" s="119"/>
      <c r="EW89" s="119"/>
      <c r="EX89" s="119"/>
      <c r="EY89" s="119"/>
      <c r="EZ89" s="119"/>
      <c r="FA89" s="119"/>
      <c r="FB89" s="119"/>
    </row>
    <row r="90" spans="2:162" ht="13.5" customHeight="1" x14ac:dyDescent="0.2">
      <c r="B90" s="454" t="s">
        <v>49</v>
      </c>
      <c r="C90" s="454"/>
      <c r="D90" s="454"/>
      <c r="E90" s="454"/>
      <c r="F90" s="454"/>
      <c r="G90" s="454"/>
      <c r="H90" s="454"/>
      <c r="I90" s="454"/>
      <c r="J90" s="454"/>
      <c r="K90" s="454"/>
      <c r="L90" s="454"/>
      <c r="M90" s="454"/>
      <c r="N90" s="454"/>
      <c r="O90" s="454"/>
      <c r="P90" s="117"/>
      <c r="Q90" s="122"/>
      <c r="R90" s="122"/>
      <c r="S90" s="122"/>
      <c r="T90" s="124"/>
      <c r="U90" s="122"/>
      <c r="V90" s="122"/>
      <c r="W90" s="124"/>
      <c r="X90" s="122"/>
      <c r="Y90" s="122"/>
      <c r="Z90" s="124"/>
      <c r="AA90" s="122"/>
      <c r="AB90" s="122"/>
      <c r="AC90" s="124"/>
      <c r="AD90" s="122"/>
      <c r="AE90" s="122"/>
      <c r="AF90" s="124"/>
      <c r="AG90" s="122"/>
      <c r="AH90" s="122"/>
      <c r="AI90" s="124"/>
      <c r="AJ90" s="122"/>
      <c r="AK90" s="122"/>
      <c r="AL90" s="124"/>
      <c r="AM90" s="122"/>
      <c r="AN90" s="122"/>
      <c r="AO90" s="124"/>
      <c r="AP90" s="122"/>
      <c r="AQ90" s="122"/>
      <c r="AR90" s="124"/>
      <c r="AS90" s="122"/>
      <c r="AT90" s="122"/>
      <c r="AU90" s="124"/>
      <c r="AV90" s="122"/>
      <c r="AW90" s="122"/>
      <c r="AX90" s="124"/>
      <c r="AY90" s="122"/>
      <c r="AZ90" s="122"/>
      <c r="BA90" s="124"/>
      <c r="BB90" s="122"/>
      <c r="BC90" s="122"/>
      <c r="BD90" s="124"/>
      <c r="BE90" s="122"/>
      <c r="BF90" s="122"/>
      <c r="BG90" s="124"/>
      <c r="BH90" s="122"/>
      <c r="BI90" s="122"/>
      <c r="BJ90" s="124"/>
      <c r="BK90" s="122"/>
      <c r="BL90" s="122"/>
      <c r="BM90" s="124"/>
      <c r="BN90" s="122"/>
      <c r="BO90" s="122"/>
      <c r="BP90" s="124"/>
      <c r="BQ90" s="122"/>
      <c r="BR90" s="122"/>
      <c r="BS90" s="124"/>
      <c r="BT90" s="122"/>
      <c r="BU90" s="122"/>
      <c r="BV90" s="124"/>
      <c r="BW90" s="122"/>
      <c r="BX90" s="122"/>
      <c r="BY90" s="124"/>
      <c r="EQ90" s="119"/>
      <c r="ER90" s="119"/>
      <c r="ES90" s="119"/>
      <c r="ET90" s="119"/>
      <c r="EU90" s="119"/>
      <c r="EV90" s="119"/>
      <c r="EW90" s="119"/>
      <c r="EX90" s="119"/>
      <c r="EY90" s="119"/>
      <c r="EZ90" s="119"/>
      <c r="FA90" s="119"/>
      <c r="FB90" s="119"/>
    </row>
    <row r="91" spans="2:162" ht="13.5" customHeight="1" x14ac:dyDescent="0.2">
      <c r="B91" s="454" t="s">
        <v>50</v>
      </c>
      <c r="C91" s="454"/>
      <c r="D91" s="454"/>
      <c r="E91" s="454"/>
      <c r="F91" s="454"/>
      <c r="G91" s="454"/>
      <c r="H91" s="454"/>
      <c r="I91" s="454"/>
      <c r="J91" s="454"/>
      <c r="K91" s="454"/>
      <c r="L91" s="454"/>
      <c r="M91" s="454"/>
      <c r="N91" s="454"/>
      <c r="O91" s="454"/>
      <c r="P91" s="117"/>
      <c r="Q91" s="122"/>
      <c r="R91" s="122"/>
      <c r="S91" s="122"/>
      <c r="T91" s="124"/>
      <c r="U91" s="122"/>
      <c r="V91" s="122"/>
      <c r="W91" s="124"/>
      <c r="X91" s="122"/>
      <c r="Y91" s="122"/>
      <c r="Z91" s="124"/>
      <c r="AA91" s="122"/>
      <c r="AB91" s="122"/>
      <c r="AC91" s="124"/>
      <c r="AD91" s="122"/>
      <c r="AE91" s="122"/>
      <c r="AF91" s="124"/>
      <c r="AG91" s="122"/>
      <c r="AH91" s="122"/>
      <c r="AI91" s="124"/>
      <c r="AJ91" s="122"/>
      <c r="AK91" s="122"/>
      <c r="AL91" s="124"/>
      <c r="AM91" s="122"/>
      <c r="AN91" s="122"/>
      <c r="AO91" s="124"/>
      <c r="AP91" s="122"/>
      <c r="AQ91" s="122"/>
      <c r="AR91" s="124"/>
      <c r="AS91" s="122"/>
      <c r="AT91" s="122"/>
      <c r="AU91" s="124"/>
      <c r="AV91" s="122"/>
      <c r="AW91" s="122"/>
      <c r="AX91" s="124"/>
      <c r="AY91" s="122"/>
      <c r="AZ91" s="122"/>
      <c r="BA91" s="124"/>
      <c r="BB91" s="122"/>
      <c r="BC91" s="122"/>
      <c r="BD91" s="124"/>
      <c r="BE91" s="122"/>
      <c r="BF91" s="122"/>
      <c r="BG91" s="124"/>
      <c r="BH91" s="122"/>
      <c r="BI91" s="122"/>
      <c r="BJ91" s="124"/>
      <c r="BK91" s="122"/>
      <c r="BL91" s="122"/>
      <c r="BM91" s="124"/>
      <c r="BN91" s="122"/>
      <c r="BO91" s="122"/>
      <c r="BP91" s="124"/>
      <c r="BQ91" s="122"/>
      <c r="BR91" s="122"/>
      <c r="BS91" s="124"/>
      <c r="BT91" s="122"/>
      <c r="BU91" s="122"/>
      <c r="BV91" s="124"/>
      <c r="BW91" s="122"/>
      <c r="BX91" s="122"/>
      <c r="BY91" s="124"/>
      <c r="EQ91" s="119"/>
      <c r="ER91" s="119"/>
      <c r="ES91" s="119"/>
      <c r="ET91" s="119"/>
      <c r="EU91" s="119"/>
      <c r="EV91" s="119"/>
      <c r="EW91" s="119"/>
      <c r="EX91" s="119"/>
      <c r="EY91" s="119"/>
      <c r="EZ91" s="119"/>
      <c r="FA91" s="119"/>
      <c r="FB91" s="119"/>
    </row>
    <row r="92" spans="2:162" ht="13.5" customHeight="1" x14ac:dyDescent="0.2">
      <c r="B92" s="454" t="s">
        <v>51</v>
      </c>
      <c r="C92" s="454"/>
      <c r="D92" s="454"/>
      <c r="E92" s="454"/>
      <c r="F92" s="454"/>
      <c r="G92" s="454"/>
      <c r="H92" s="454"/>
      <c r="I92" s="454"/>
      <c r="J92" s="454"/>
      <c r="K92" s="454"/>
      <c r="L92" s="454"/>
      <c r="M92" s="454"/>
      <c r="N92" s="454"/>
      <c r="O92" s="454"/>
      <c r="P92" s="117"/>
      <c r="Q92" s="122"/>
      <c r="R92" s="122"/>
      <c r="S92" s="122"/>
      <c r="T92" s="124"/>
      <c r="U92" s="122"/>
      <c r="V92" s="122"/>
      <c r="W92" s="124"/>
      <c r="X92" s="122"/>
      <c r="Y92" s="122"/>
      <c r="Z92" s="124"/>
      <c r="AA92" s="122"/>
      <c r="AB92" s="122"/>
      <c r="AC92" s="124"/>
      <c r="AD92" s="122"/>
      <c r="AE92" s="122"/>
      <c r="AF92" s="124"/>
      <c r="AG92" s="122"/>
      <c r="AH92" s="122"/>
      <c r="AI92" s="124"/>
      <c r="AJ92" s="122"/>
      <c r="AK92" s="122"/>
      <c r="AL92" s="124"/>
      <c r="AM92" s="122"/>
      <c r="AN92" s="122"/>
      <c r="AO92" s="124"/>
      <c r="AP92" s="122"/>
      <c r="AQ92" s="122"/>
      <c r="AR92" s="124"/>
      <c r="AS92" s="122"/>
      <c r="AT92" s="122"/>
      <c r="AU92" s="124"/>
      <c r="AV92" s="122"/>
      <c r="AW92" s="122"/>
      <c r="AX92" s="124"/>
      <c r="AY92" s="122"/>
      <c r="AZ92" s="122"/>
      <c r="BA92" s="124"/>
      <c r="BB92" s="122"/>
      <c r="BC92" s="122"/>
      <c r="BD92" s="124"/>
      <c r="BE92" s="122"/>
      <c r="BF92" s="122"/>
      <c r="BG92" s="124"/>
      <c r="BH92" s="122"/>
      <c r="BI92" s="122"/>
      <c r="BJ92" s="124"/>
      <c r="BK92" s="122"/>
      <c r="BL92" s="122"/>
      <c r="BM92" s="124"/>
      <c r="BN92" s="122"/>
      <c r="BO92" s="122"/>
      <c r="BP92" s="124"/>
      <c r="BQ92" s="122"/>
      <c r="BR92" s="122"/>
      <c r="BS92" s="124"/>
      <c r="BT92" s="122"/>
      <c r="BU92" s="122"/>
      <c r="BV92" s="124"/>
      <c r="BW92" s="122"/>
      <c r="BX92" s="122"/>
      <c r="BY92" s="124"/>
      <c r="EQ92" s="119"/>
      <c r="ER92" s="119"/>
      <c r="ES92" s="119"/>
      <c r="ET92" s="119"/>
      <c r="EU92" s="119"/>
      <c r="EV92" s="119"/>
      <c r="EW92" s="119"/>
      <c r="EX92" s="119"/>
      <c r="EY92" s="119"/>
      <c r="EZ92" s="119"/>
      <c r="FA92" s="119"/>
      <c r="FB92" s="119"/>
    </row>
    <row r="93" spans="2:162" ht="13.5" customHeight="1" x14ac:dyDescent="0.2">
      <c r="B93" s="454" t="s">
        <v>52</v>
      </c>
      <c r="C93" s="454"/>
      <c r="D93" s="454"/>
      <c r="E93" s="454"/>
      <c r="F93" s="454"/>
      <c r="G93" s="454"/>
      <c r="H93" s="454"/>
      <c r="I93" s="454"/>
      <c r="J93" s="454"/>
      <c r="K93" s="454"/>
      <c r="L93" s="454"/>
      <c r="M93" s="454"/>
      <c r="N93" s="454"/>
      <c r="O93" s="454"/>
      <c r="P93" s="117"/>
      <c r="Q93" s="122"/>
      <c r="R93" s="122"/>
      <c r="S93" s="122"/>
      <c r="T93" s="124"/>
      <c r="U93" s="122"/>
      <c r="V93" s="122"/>
      <c r="W93" s="124"/>
      <c r="X93" s="122"/>
      <c r="Y93" s="122"/>
      <c r="Z93" s="124"/>
      <c r="AA93" s="122"/>
      <c r="AB93" s="122"/>
      <c r="AC93" s="124"/>
      <c r="AD93" s="122"/>
      <c r="AE93" s="122"/>
      <c r="AF93" s="124"/>
      <c r="AG93" s="122"/>
      <c r="AH93" s="122"/>
      <c r="AI93" s="124"/>
      <c r="AJ93" s="122"/>
      <c r="AK93" s="122"/>
      <c r="AL93" s="124"/>
      <c r="AM93" s="122"/>
      <c r="AN93" s="122"/>
      <c r="AO93" s="124"/>
      <c r="AP93" s="122"/>
      <c r="AQ93" s="122"/>
      <c r="AR93" s="124"/>
      <c r="AS93" s="122"/>
      <c r="AT93" s="122"/>
      <c r="AU93" s="124"/>
      <c r="AV93" s="122"/>
      <c r="AW93" s="122"/>
      <c r="AX93" s="124"/>
      <c r="AY93" s="122"/>
      <c r="AZ93" s="122"/>
      <c r="BA93" s="124"/>
      <c r="BB93" s="122"/>
      <c r="BC93" s="122"/>
      <c r="BD93" s="124"/>
      <c r="BE93" s="122"/>
      <c r="BF93" s="122"/>
      <c r="BG93" s="124"/>
      <c r="BH93" s="122"/>
      <c r="BI93" s="122"/>
      <c r="BJ93" s="124"/>
      <c r="BK93" s="122"/>
      <c r="BL93" s="122"/>
      <c r="BM93" s="124"/>
      <c r="BN93" s="122"/>
      <c r="BO93" s="122"/>
      <c r="BP93" s="124"/>
      <c r="BQ93" s="122"/>
      <c r="BR93" s="122"/>
      <c r="BS93" s="124"/>
      <c r="BT93" s="122"/>
      <c r="BU93" s="122"/>
      <c r="BV93" s="124"/>
      <c r="BW93" s="122"/>
      <c r="BX93" s="122"/>
      <c r="BY93" s="124"/>
      <c r="EQ93" s="119"/>
      <c r="ER93" s="119"/>
      <c r="ES93" s="119"/>
      <c r="ET93" s="119"/>
      <c r="EU93" s="119"/>
      <c r="EV93" s="119"/>
      <c r="EW93" s="119"/>
      <c r="EX93" s="119"/>
      <c r="EY93" s="119"/>
      <c r="EZ93" s="119"/>
      <c r="FA93" s="119"/>
      <c r="FB93" s="119"/>
    </row>
    <row r="94" spans="2:162" ht="13.5" customHeight="1" x14ac:dyDescent="0.2">
      <c r="B94" s="454" t="s">
        <v>53</v>
      </c>
      <c r="C94" s="454"/>
      <c r="D94" s="454"/>
      <c r="E94" s="454"/>
      <c r="F94" s="454"/>
      <c r="G94" s="454"/>
      <c r="H94" s="454"/>
      <c r="I94" s="454"/>
      <c r="J94" s="454"/>
      <c r="K94" s="454"/>
      <c r="L94" s="454"/>
      <c r="M94" s="454"/>
      <c r="N94" s="454"/>
      <c r="O94" s="454"/>
      <c r="P94" s="117"/>
      <c r="Q94" s="122"/>
      <c r="R94" s="122"/>
      <c r="S94" s="122"/>
      <c r="T94" s="124"/>
      <c r="U94" s="122"/>
      <c r="V94" s="122"/>
      <c r="W94" s="124"/>
      <c r="X94" s="122"/>
      <c r="Y94" s="122"/>
      <c r="Z94" s="124"/>
      <c r="AA94" s="122"/>
      <c r="AB94" s="122"/>
      <c r="AC94" s="124"/>
      <c r="AD94" s="122"/>
      <c r="AE94" s="122"/>
      <c r="AF94" s="124"/>
      <c r="AG94" s="122"/>
      <c r="AH94" s="122"/>
      <c r="AI94" s="124"/>
      <c r="AJ94" s="122"/>
      <c r="AK94" s="122"/>
      <c r="AL94" s="124"/>
      <c r="AM94" s="122"/>
      <c r="AN94" s="122"/>
      <c r="AO94" s="124"/>
      <c r="AP94" s="122"/>
      <c r="AQ94" s="122"/>
      <c r="AR94" s="124"/>
      <c r="AS94" s="122"/>
      <c r="AT94" s="122"/>
      <c r="AU94" s="124"/>
      <c r="AV94" s="122"/>
      <c r="AW94" s="122"/>
      <c r="AX94" s="124"/>
      <c r="AY94" s="122"/>
      <c r="AZ94" s="122"/>
      <c r="BA94" s="124"/>
      <c r="BB94" s="122"/>
      <c r="BC94" s="122"/>
      <c r="BD94" s="124"/>
      <c r="BE94" s="122"/>
      <c r="BF94" s="122"/>
      <c r="BG94" s="124"/>
      <c r="BH94" s="122"/>
      <c r="BI94" s="122"/>
      <c r="BJ94" s="124"/>
      <c r="BK94" s="122"/>
      <c r="BL94" s="122"/>
      <c r="BM94" s="124"/>
      <c r="BN94" s="122"/>
      <c r="BO94" s="122"/>
      <c r="BP94" s="124"/>
      <c r="BQ94" s="122"/>
      <c r="BR94" s="122"/>
      <c r="BS94" s="124"/>
      <c r="BT94" s="122"/>
      <c r="BU94" s="122"/>
      <c r="BV94" s="124"/>
      <c r="BW94" s="122"/>
      <c r="BX94" s="122"/>
      <c r="BY94" s="124"/>
      <c r="EQ94" s="119"/>
      <c r="ER94" s="119"/>
      <c r="ES94" s="119"/>
      <c r="ET94" s="119"/>
      <c r="EU94" s="119"/>
      <c r="EV94" s="119"/>
      <c r="EW94" s="119"/>
      <c r="EX94" s="119"/>
      <c r="EY94" s="119"/>
      <c r="EZ94" s="119"/>
      <c r="FA94" s="119"/>
      <c r="FB94" s="119"/>
    </row>
    <row r="95" spans="2:162" ht="13.5" customHeight="1" x14ac:dyDescent="0.2">
      <c r="B95" s="454"/>
      <c r="C95" s="454"/>
      <c r="D95" s="454"/>
      <c r="E95" s="454"/>
      <c r="F95" s="454"/>
      <c r="G95" s="454"/>
      <c r="H95" s="454"/>
      <c r="I95" s="454"/>
      <c r="J95" s="454"/>
      <c r="K95" s="454"/>
      <c r="L95" s="454"/>
      <c r="M95" s="454"/>
      <c r="N95" s="454"/>
      <c r="O95" s="454"/>
      <c r="P95" s="117"/>
      <c r="Q95" s="122"/>
      <c r="R95" s="122"/>
      <c r="S95" s="122"/>
      <c r="T95" s="124"/>
      <c r="U95" s="122"/>
      <c r="V95" s="122"/>
      <c r="W95" s="124"/>
      <c r="X95" s="122"/>
      <c r="Y95" s="122"/>
      <c r="Z95" s="124"/>
      <c r="AA95" s="122"/>
      <c r="AB95" s="122"/>
      <c r="AC95" s="124"/>
      <c r="AD95" s="122"/>
      <c r="AE95" s="122"/>
      <c r="AF95" s="124"/>
      <c r="AG95" s="122"/>
      <c r="AH95" s="122"/>
      <c r="AI95" s="124"/>
      <c r="AJ95" s="122"/>
      <c r="AK95" s="122"/>
      <c r="AL95" s="124"/>
      <c r="AM95" s="122"/>
      <c r="AN95" s="122"/>
      <c r="AO95" s="124"/>
      <c r="AP95" s="122"/>
      <c r="AQ95" s="122"/>
      <c r="AR95" s="124"/>
      <c r="AS95" s="122"/>
      <c r="AT95" s="122"/>
      <c r="AU95" s="124"/>
      <c r="AV95" s="122"/>
      <c r="AW95" s="122"/>
      <c r="AX95" s="124"/>
      <c r="AY95" s="122"/>
      <c r="AZ95" s="122"/>
      <c r="BA95" s="124"/>
      <c r="BB95" s="122"/>
      <c r="BC95" s="122"/>
      <c r="BD95" s="124"/>
      <c r="BE95" s="122"/>
      <c r="BF95" s="122"/>
      <c r="BG95" s="124"/>
      <c r="BH95" s="122"/>
      <c r="BI95" s="122"/>
      <c r="BJ95" s="124"/>
      <c r="BK95" s="122"/>
      <c r="BL95" s="122"/>
      <c r="BM95" s="124"/>
      <c r="BN95" s="122"/>
      <c r="BO95" s="122"/>
      <c r="BP95" s="124"/>
      <c r="BQ95" s="122"/>
      <c r="BR95" s="122"/>
      <c r="BS95" s="124"/>
      <c r="BT95" s="122"/>
      <c r="BU95" s="122"/>
      <c r="BV95" s="124"/>
      <c r="BW95" s="122"/>
      <c r="BX95" s="122"/>
      <c r="BY95" s="124"/>
      <c r="EQ95" s="119"/>
      <c r="ER95" s="119"/>
      <c r="ES95" s="119"/>
      <c r="ET95" s="119"/>
      <c r="EU95" s="119"/>
      <c r="EV95" s="119"/>
      <c r="EW95" s="119"/>
      <c r="EX95" s="119"/>
      <c r="EY95" s="119"/>
      <c r="EZ95" s="119"/>
      <c r="FA95" s="119"/>
      <c r="FB95" s="119"/>
    </row>
    <row r="96" spans="2:162" ht="13.5" customHeight="1" x14ac:dyDescent="0.2">
      <c r="B96" s="462" t="s">
        <v>133</v>
      </c>
      <c r="C96" s="462"/>
      <c r="D96" s="462"/>
      <c r="E96" s="462"/>
      <c r="F96" s="462"/>
      <c r="G96" s="462"/>
      <c r="H96" s="462"/>
      <c r="I96" s="462"/>
      <c r="J96" s="462"/>
      <c r="K96" s="462"/>
      <c r="L96" s="462"/>
      <c r="M96" s="462"/>
      <c r="N96" s="462"/>
      <c r="O96" s="462"/>
      <c r="P96" s="117"/>
      <c r="Q96" s="122"/>
      <c r="R96" s="122"/>
      <c r="S96" s="122"/>
      <c r="T96" s="124"/>
      <c r="U96" s="122"/>
      <c r="V96" s="122"/>
      <c r="W96" s="124"/>
      <c r="X96" s="122"/>
      <c r="Y96" s="122"/>
      <c r="Z96" s="124"/>
      <c r="AA96" s="122"/>
      <c r="AB96" s="122"/>
      <c r="AC96" s="124"/>
      <c r="AD96" s="122"/>
      <c r="AE96" s="122"/>
      <c r="AF96" s="124"/>
      <c r="AG96" s="122"/>
      <c r="AH96" s="122"/>
      <c r="AI96" s="124"/>
      <c r="AJ96" s="122"/>
      <c r="AK96" s="122"/>
      <c r="AL96" s="124"/>
      <c r="AM96" s="122"/>
      <c r="AN96" s="122"/>
      <c r="AO96" s="124"/>
      <c r="AP96" s="122"/>
      <c r="AQ96" s="122"/>
      <c r="AR96" s="124"/>
      <c r="AS96" s="122"/>
      <c r="AT96" s="122"/>
      <c r="AU96" s="124"/>
      <c r="AV96" s="122"/>
      <c r="AW96" s="122"/>
      <c r="AX96" s="124"/>
      <c r="AY96" s="122"/>
      <c r="AZ96" s="122"/>
      <c r="BA96" s="124"/>
      <c r="BB96" s="122"/>
      <c r="BC96" s="122"/>
      <c r="BD96" s="124"/>
      <c r="BE96" s="122"/>
      <c r="BF96" s="122"/>
      <c r="BG96" s="124"/>
      <c r="BH96" s="122"/>
      <c r="BI96" s="122"/>
      <c r="BJ96" s="124"/>
      <c r="BK96" s="122"/>
      <c r="BL96" s="122"/>
      <c r="BM96" s="124"/>
      <c r="BN96" s="122"/>
      <c r="BO96" s="122"/>
      <c r="BP96" s="124"/>
      <c r="BQ96" s="122"/>
      <c r="BR96" s="122"/>
      <c r="BS96" s="124"/>
      <c r="BT96" s="122"/>
      <c r="BU96" s="122"/>
      <c r="BV96" s="124"/>
      <c r="BW96" s="122"/>
      <c r="BX96" s="122"/>
      <c r="BY96" s="124"/>
      <c r="EQ96" s="119"/>
      <c r="ER96" s="119"/>
      <c r="ES96" s="119"/>
      <c r="ET96" s="119"/>
      <c r="EU96" s="119"/>
      <c r="EV96" s="119"/>
      <c r="EW96" s="119"/>
      <c r="EX96" s="119"/>
      <c r="EY96" s="119"/>
      <c r="EZ96" s="119"/>
      <c r="FA96" s="119"/>
      <c r="FB96" s="119"/>
    </row>
    <row r="97" spans="2:158" ht="13.5" customHeight="1" x14ac:dyDescent="0.2">
      <c r="B97" s="462" t="s">
        <v>123</v>
      </c>
      <c r="C97" s="462"/>
      <c r="D97" s="462"/>
      <c r="E97" s="462"/>
      <c r="F97" s="462"/>
      <c r="G97" s="462"/>
      <c r="H97" s="462"/>
      <c r="I97" s="462"/>
      <c r="J97" s="462"/>
      <c r="K97" s="462"/>
      <c r="L97" s="462"/>
      <c r="M97" s="462"/>
      <c r="N97" s="462"/>
      <c r="O97" s="462"/>
      <c r="P97" s="117"/>
      <c r="Q97" s="122"/>
      <c r="R97" s="122"/>
      <c r="S97" s="122"/>
      <c r="T97" s="124"/>
      <c r="U97" s="122"/>
      <c r="V97" s="122"/>
      <c r="W97" s="124"/>
      <c r="X97" s="122"/>
      <c r="Y97" s="122"/>
      <c r="Z97" s="124"/>
      <c r="AA97" s="122"/>
      <c r="AB97" s="122"/>
      <c r="AC97" s="124"/>
      <c r="AD97" s="122"/>
      <c r="AE97" s="122"/>
      <c r="AF97" s="124"/>
      <c r="AG97" s="122"/>
      <c r="AH97" s="122"/>
      <c r="AI97" s="124"/>
      <c r="AJ97" s="122"/>
      <c r="AK97" s="122"/>
      <c r="AL97" s="124"/>
      <c r="AM97" s="122"/>
      <c r="AN97" s="122"/>
      <c r="AO97" s="124"/>
      <c r="AP97" s="122"/>
      <c r="AQ97" s="122"/>
      <c r="AR97" s="124"/>
      <c r="AS97" s="122"/>
      <c r="AT97" s="122"/>
      <c r="AU97" s="124"/>
      <c r="AV97" s="122"/>
      <c r="AW97" s="122"/>
      <c r="AX97" s="124"/>
      <c r="AY97" s="122"/>
      <c r="AZ97" s="122"/>
      <c r="BA97" s="124"/>
      <c r="BB97" s="122"/>
      <c r="BC97" s="122"/>
      <c r="BD97" s="124"/>
      <c r="BE97" s="122"/>
      <c r="BF97" s="122"/>
      <c r="BG97" s="124"/>
      <c r="BH97" s="122"/>
      <c r="BI97" s="122"/>
      <c r="BJ97" s="124"/>
      <c r="BK97" s="122"/>
      <c r="BL97" s="122"/>
      <c r="BM97" s="124"/>
      <c r="BN97" s="122"/>
      <c r="BO97" s="122"/>
      <c r="BP97" s="124"/>
      <c r="BQ97" s="122"/>
      <c r="BR97" s="122"/>
      <c r="BS97" s="124"/>
      <c r="BT97" s="122"/>
      <c r="BU97" s="122"/>
      <c r="BV97" s="124"/>
      <c r="BW97" s="122"/>
      <c r="BX97" s="122"/>
      <c r="BY97" s="124"/>
      <c r="EQ97" s="119"/>
      <c r="ER97" s="119"/>
      <c r="ES97" s="119"/>
      <c r="ET97" s="119"/>
      <c r="EU97" s="119"/>
      <c r="EV97" s="119"/>
      <c r="EW97" s="119"/>
      <c r="EX97" s="119"/>
      <c r="EY97" s="119"/>
      <c r="EZ97" s="119"/>
      <c r="FA97" s="119"/>
      <c r="FB97" s="119"/>
    </row>
    <row r="98" spans="2:158" ht="13.5" customHeight="1" x14ac:dyDescent="0.2">
      <c r="B98" s="462" t="s">
        <v>181</v>
      </c>
      <c r="C98" s="462"/>
      <c r="D98" s="462"/>
      <c r="E98" s="462"/>
      <c r="F98" s="462"/>
      <c r="G98" s="462"/>
      <c r="H98" s="462"/>
      <c r="I98" s="462"/>
      <c r="J98" s="462"/>
      <c r="K98" s="462"/>
      <c r="L98" s="462"/>
      <c r="M98" s="462"/>
      <c r="N98" s="462"/>
      <c r="O98" s="462"/>
      <c r="P98" s="117"/>
      <c r="Q98" s="122"/>
      <c r="R98" s="122"/>
      <c r="S98" s="122"/>
      <c r="T98" s="124"/>
      <c r="U98" s="122"/>
      <c r="V98" s="122"/>
      <c r="W98" s="124"/>
      <c r="X98" s="122"/>
      <c r="Y98" s="122"/>
      <c r="Z98" s="124"/>
      <c r="AA98" s="122"/>
      <c r="AB98" s="122"/>
      <c r="AC98" s="124"/>
      <c r="AD98" s="122"/>
      <c r="AE98" s="122"/>
      <c r="AF98" s="124"/>
      <c r="AG98" s="122"/>
      <c r="AH98" s="122"/>
      <c r="AI98" s="124"/>
      <c r="AJ98" s="122"/>
      <c r="AK98" s="122"/>
      <c r="AL98" s="124"/>
      <c r="AM98" s="122"/>
      <c r="AN98" s="122"/>
      <c r="AO98" s="124"/>
      <c r="AP98" s="122"/>
      <c r="AQ98" s="122"/>
      <c r="AR98" s="124"/>
      <c r="AS98" s="122"/>
      <c r="AT98" s="122"/>
      <c r="AU98" s="124"/>
      <c r="AV98" s="122"/>
      <c r="AW98" s="122"/>
      <c r="AX98" s="124"/>
      <c r="AY98" s="122"/>
      <c r="AZ98" s="122"/>
      <c r="BA98" s="124"/>
      <c r="BB98" s="122"/>
      <c r="BC98" s="122"/>
      <c r="BD98" s="124"/>
      <c r="BE98" s="122"/>
      <c r="BF98" s="122"/>
      <c r="BG98" s="124"/>
      <c r="BH98" s="122"/>
      <c r="BI98" s="122"/>
      <c r="BJ98" s="124"/>
      <c r="BK98" s="122"/>
      <c r="BL98" s="122"/>
      <c r="BM98" s="124"/>
      <c r="BN98" s="122"/>
      <c r="BO98" s="122"/>
      <c r="BP98" s="124"/>
      <c r="BQ98" s="122"/>
      <c r="BR98" s="122"/>
      <c r="BS98" s="124"/>
      <c r="BT98" s="122"/>
      <c r="BU98" s="122"/>
      <c r="BV98" s="124"/>
      <c r="BW98" s="122"/>
      <c r="BX98" s="122"/>
      <c r="BY98" s="124"/>
      <c r="EQ98" s="119"/>
      <c r="ER98" s="119"/>
      <c r="ES98" s="119"/>
      <c r="ET98" s="119"/>
      <c r="EU98" s="119"/>
      <c r="EV98" s="119"/>
      <c r="EW98" s="119"/>
      <c r="EX98" s="119"/>
      <c r="EY98" s="119"/>
      <c r="EZ98" s="119"/>
      <c r="FA98" s="119"/>
      <c r="FB98" s="119"/>
    </row>
    <row r="99" spans="2:158" ht="13.5" customHeight="1" x14ac:dyDescent="0.2">
      <c r="B99" s="462" t="s">
        <v>180</v>
      </c>
      <c r="C99" s="462"/>
      <c r="D99" s="462"/>
      <c r="E99" s="462"/>
      <c r="F99" s="462"/>
      <c r="G99" s="462"/>
      <c r="H99" s="462"/>
      <c r="I99" s="462"/>
      <c r="J99" s="462"/>
      <c r="K99" s="462"/>
      <c r="L99" s="462"/>
      <c r="M99" s="462"/>
      <c r="N99" s="462"/>
      <c r="O99" s="462"/>
      <c r="P99" s="117"/>
      <c r="Q99" s="122"/>
      <c r="R99" s="122"/>
      <c r="S99" s="122"/>
      <c r="T99" s="124"/>
      <c r="U99" s="122"/>
      <c r="V99" s="122"/>
      <c r="W99" s="124"/>
      <c r="X99" s="122"/>
      <c r="Y99" s="122"/>
      <c r="Z99" s="124"/>
      <c r="AA99" s="122"/>
      <c r="AB99" s="122"/>
      <c r="AC99" s="124"/>
      <c r="AD99" s="122"/>
      <c r="AE99" s="122"/>
      <c r="AF99" s="124"/>
      <c r="AG99" s="122"/>
      <c r="AH99" s="122"/>
      <c r="AI99" s="124"/>
      <c r="AJ99" s="122"/>
      <c r="AK99" s="122"/>
      <c r="AL99" s="124"/>
      <c r="AM99" s="122"/>
      <c r="AN99" s="122"/>
      <c r="AO99" s="124"/>
      <c r="AP99" s="122"/>
      <c r="AQ99" s="122"/>
      <c r="AR99" s="124"/>
      <c r="AS99" s="122"/>
      <c r="AT99" s="122"/>
      <c r="AU99" s="124"/>
      <c r="AV99" s="122"/>
      <c r="AW99" s="122"/>
      <c r="AX99" s="124"/>
      <c r="AY99" s="122"/>
      <c r="AZ99" s="122"/>
      <c r="BA99" s="124"/>
      <c r="BB99" s="122"/>
      <c r="BC99" s="122"/>
      <c r="BD99" s="124"/>
      <c r="BE99" s="122"/>
      <c r="BF99" s="122"/>
      <c r="BG99" s="124"/>
      <c r="BH99" s="122"/>
      <c r="BI99" s="122"/>
      <c r="BJ99" s="124"/>
      <c r="BK99" s="122"/>
      <c r="BL99" s="122"/>
      <c r="BM99" s="124"/>
      <c r="BN99" s="122"/>
      <c r="BO99" s="122"/>
      <c r="BP99" s="124"/>
      <c r="BQ99" s="122"/>
      <c r="BR99" s="122"/>
      <c r="BS99" s="124"/>
      <c r="BT99" s="122"/>
      <c r="BU99" s="122"/>
      <c r="BV99" s="124"/>
      <c r="BW99" s="122"/>
      <c r="BX99" s="122"/>
      <c r="BY99" s="124"/>
      <c r="EQ99" s="119"/>
      <c r="ER99" s="119"/>
      <c r="ES99" s="119"/>
      <c r="ET99" s="119"/>
      <c r="EU99" s="119"/>
      <c r="EV99" s="119"/>
      <c r="EW99" s="119"/>
      <c r="EX99" s="119"/>
      <c r="EY99" s="119"/>
      <c r="EZ99" s="119"/>
      <c r="FA99" s="119"/>
      <c r="FB99" s="119"/>
    </row>
    <row r="100" spans="2:158" ht="13.5" customHeight="1" x14ac:dyDescent="0.2">
      <c r="B100" s="286"/>
      <c r="C100" s="117"/>
      <c r="D100" s="117"/>
      <c r="E100" s="117"/>
      <c r="F100" s="117"/>
      <c r="G100" s="117"/>
      <c r="H100" s="117"/>
      <c r="I100" s="117"/>
      <c r="J100" s="117"/>
      <c r="K100" s="117"/>
      <c r="L100" s="117"/>
      <c r="M100" s="117"/>
      <c r="N100" s="117"/>
      <c r="O100" s="117"/>
      <c r="P100" s="117"/>
      <c r="Q100" s="122"/>
      <c r="R100" s="122"/>
      <c r="S100" s="122"/>
      <c r="T100" s="124"/>
      <c r="U100" s="122"/>
      <c r="V100" s="122"/>
      <c r="W100" s="124"/>
      <c r="X100" s="122"/>
      <c r="Y100" s="122"/>
      <c r="Z100" s="124"/>
      <c r="AA100" s="122"/>
      <c r="AB100" s="122"/>
      <c r="AC100" s="124"/>
      <c r="AD100" s="122"/>
      <c r="AE100" s="122"/>
      <c r="AF100" s="124"/>
      <c r="AG100" s="122"/>
      <c r="AH100" s="122"/>
      <c r="AI100" s="124"/>
      <c r="AJ100" s="122"/>
      <c r="AK100" s="122"/>
      <c r="AL100" s="124"/>
      <c r="AM100" s="122"/>
      <c r="AN100" s="122"/>
      <c r="AO100" s="124"/>
      <c r="AP100" s="122"/>
      <c r="AQ100" s="122"/>
      <c r="AR100" s="124"/>
      <c r="AS100" s="122"/>
      <c r="AT100" s="122"/>
      <c r="AU100" s="124"/>
      <c r="AV100" s="122"/>
      <c r="AW100" s="122"/>
      <c r="AX100" s="124"/>
      <c r="AY100" s="122"/>
      <c r="AZ100" s="122"/>
      <c r="BA100" s="124"/>
      <c r="BB100" s="122"/>
      <c r="BC100" s="122"/>
      <c r="BD100" s="124"/>
      <c r="BE100" s="122"/>
      <c r="BF100" s="122"/>
      <c r="BG100" s="124"/>
      <c r="BH100" s="122"/>
      <c r="BI100" s="122"/>
      <c r="BJ100" s="124"/>
      <c r="BK100" s="122"/>
      <c r="BL100" s="122"/>
      <c r="BM100" s="124"/>
      <c r="BN100" s="122"/>
      <c r="BO100" s="122"/>
      <c r="BP100" s="124"/>
      <c r="BQ100" s="122"/>
      <c r="BR100" s="122"/>
      <c r="BS100" s="124"/>
      <c r="BT100" s="122"/>
      <c r="BU100" s="122"/>
      <c r="BV100" s="124"/>
      <c r="BW100" s="122"/>
      <c r="BX100" s="122"/>
      <c r="BY100" s="124"/>
      <c r="EQ100" s="119"/>
      <c r="ER100" s="119"/>
      <c r="ES100" s="119"/>
      <c r="ET100" s="119"/>
      <c r="EU100" s="119"/>
      <c r="EV100" s="119"/>
      <c r="EW100" s="119"/>
      <c r="EX100" s="119"/>
      <c r="EY100" s="119"/>
      <c r="EZ100" s="119"/>
      <c r="FA100" s="119"/>
      <c r="FB100" s="119"/>
    </row>
    <row r="101" spans="2:158" ht="13.5" customHeight="1" x14ac:dyDescent="0.2">
      <c r="B101" s="150"/>
      <c r="C101" s="117"/>
      <c r="D101" s="117"/>
      <c r="E101" s="117"/>
      <c r="F101" s="117"/>
      <c r="G101" s="117"/>
      <c r="H101" s="117"/>
      <c r="I101" s="117"/>
      <c r="J101" s="117"/>
      <c r="K101" s="117"/>
      <c r="L101" s="117"/>
      <c r="M101" s="117"/>
      <c r="N101" s="117"/>
      <c r="O101" s="117"/>
      <c r="P101" s="117"/>
      <c r="Q101" s="122"/>
      <c r="R101" s="122"/>
      <c r="S101" s="122"/>
      <c r="T101" s="124"/>
      <c r="U101" s="122"/>
      <c r="V101" s="122"/>
      <c r="W101" s="124"/>
      <c r="X101" s="122"/>
      <c r="Y101" s="122"/>
      <c r="Z101" s="124"/>
      <c r="AA101" s="122"/>
      <c r="AB101" s="122"/>
      <c r="AC101" s="124"/>
      <c r="AD101" s="122"/>
      <c r="AE101" s="122"/>
      <c r="AF101" s="124"/>
      <c r="AG101" s="122"/>
      <c r="AH101" s="122"/>
      <c r="AI101" s="124"/>
      <c r="AJ101" s="122"/>
      <c r="AK101" s="122"/>
      <c r="AL101" s="124"/>
      <c r="AM101" s="122"/>
      <c r="AN101" s="122"/>
      <c r="AO101" s="124"/>
      <c r="AP101" s="122"/>
      <c r="AQ101" s="122"/>
      <c r="AR101" s="124"/>
      <c r="AS101" s="122"/>
      <c r="AT101" s="122"/>
      <c r="AU101" s="124"/>
      <c r="AV101" s="122"/>
      <c r="AW101" s="122"/>
      <c r="AX101" s="124"/>
      <c r="AY101" s="122"/>
      <c r="AZ101" s="122"/>
      <c r="BA101" s="124"/>
      <c r="BB101" s="122"/>
      <c r="BC101" s="122"/>
      <c r="BD101" s="124"/>
      <c r="BE101" s="122"/>
      <c r="BF101" s="122"/>
      <c r="BG101" s="124"/>
      <c r="BH101" s="122"/>
      <c r="BI101" s="122"/>
      <c r="BJ101" s="124"/>
      <c r="BK101" s="122"/>
      <c r="BL101" s="122"/>
      <c r="BM101" s="124"/>
      <c r="BN101" s="122"/>
      <c r="BO101" s="122"/>
      <c r="BP101" s="124"/>
      <c r="BQ101" s="122"/>
      <c r="BR101" s="122"/>
      <c r="BS101" s="124"/>
      <c r="BT101" s="122"/>
      <c r="BU101" s="122"/>
      <c r="BV101" s="124"/>
      <c r="BW101" s="122"/>
      <c r="BX101" s="122"/>
      <c r="BY101" s="124"/>
      <c r="EQ101" s="119"/>
      <c r="ER101" s="119"/>
      <c r="ES101" s="119"/>
      <c r="ET101" s="119"/>
      <c r="EU101" s="119"/>
      <c r="EV101" s="119"/>
      <c r="EW101" s="119"/>
      <c r="EX101" s="119"/>
      <c r="EY101" s="119"/>
      <c r="EZ101" s="119"/>
      <c r="FA101" s="119"/>
      <c r="FB101" s="119"/>
    </row>
    <row r="102" spans="2:158" ht="13.5" customHeight="1" x14ac:dyDescent="0.2">
      <c r="B102" s="117"/>
      <c r="C102" s="117"/>
      <c r="D102" s="117"/>
      <c r="E102" s="117"/>
      <c r="F102" s="117"/>
      <c r="G102" s="117"/>
      <c r="H102" s="117"/>
      <c r="I102" s="117"/>
      <c r="J102" s="117"/>
      <c r="K102" s="117"/>
      <c r="L102" s="117"/>
      <c r="M102" s="117"/>
      <c r="N102" s="117"/>
      <c r="O102" s="117"/>
      <c r="P102" s="117"/>
      <c r="Q102" s="122"/>
      <c r="R102" s="122"/>
      <c r="S102" s="122"/>
      <c r="T102" s="124"/>
      <c r="U102" s="122"/>
      <c r="V102" s="122"/>
      <c r="W102" s="124"/>
      <c r="X102" s="122"/>
      <c r="Y102" s="122"/>
      <c r="Z102" s="124"/>
      <c r="AA102" s="122"/>
      <c r="AB102" s="122"/>
      <c r="AC102" s="124"/>
      <c r="AD102" s="122"/>
      <c r="AE102" s="122"/>
      <c r="AF102" s="124"/>
      <c r="AG102" s="122"/>
      <c r="AH102" s="122"/>
      <c r="AI102" s="124"/>
      <c r="AJ102" s="122"/>
      <c r="AK102" s="122"/>
      <c r="AL102" s="124"/>
      <c r="AM102" s="122"/>
      <c r="AN102" s="122"/>
      <c r="AO102" s="124"/>
      <c r="AP102" s="122"/>
      <c r="AQ102" s="122"/>
      <c r="AR102" s="124"/>
      <c r="AS102" s="122"/>
      <c r="AT102" s="122"/>
      <c r="AU102" s="124"/>
      <c r="AV102" s="122"/>
      <c r="AW102" s="122"/>
      <c r="AX102" s="124"/>
      <c r="AY102" s="122"/>
      <c r="AZ102" s="122"/>
      <c r="BA102" s="124"/>
      <c r="BB102" s="122"/>
      <c r="BC102" s="122"/>
      <c r="BD102" s="124"/>
      <c r="BE102" s="122"/>
      <c r="BF102" s="122"/>
      <c r="BG102" s="124"/>
      <c r="BH102" s="122"/>
      <c r="BI102" s="122"/>
      <c r="BJ102" s="124"/>
      <c r="BK102" s="122"/>
      <c r="BL102" s="122"/>
      <c r="BM102" s="124"/>
      <c r="BN102" s="122"/>
      <c r="BO102" s="122"/>
      <c r="BP102" s="124"/>
      <c r="BQ102" s="122"/>
      <c r="BR102" s="122"/>
      <c r="BS102" s="124"/>
      <c r="BT102" s="122"/>
      <c r="BU102" s="122"/>
      <c r="BV102" s="124"/>
      <c r="BW102" s="122"/>
      <c r="BX102" s="122"/>
      <c r="BY102" s="124"/>
      <c r="EQ102" s="119"/>
      <c r="ER102" s="119"/>
      <c r="ES102" s="119"/>
      <c r="ET102" s="119"/>
      <c r="EU102" s="119"/>
      <c r="EV102" s="119"/>
      <c r="EW102" s="119"/>
      <c r="EX102" s="119"/>
      <c r="EY102" s="119"/>
      <c r="EZ102" s="119"/>
      <c r="FA102" s="119"/>
      <c r="FB102" s="119"/>
    </row>
    <row r="103" spans="2:158" ht="13.5" customHeight="1" x14ac:dyDescent="0.2">
      <c r="B103" s="117"/>
      <c r="C103" s="117"/>
      <c r="D103" s="117"/>
      <c r="E103" s="117"/>
      <c r="F103" s="117"/>
      <c r="G103" s="117"/>
      <c r="H103" s="117"/>
      <c r="I103" s="117"/>
      <c r="J103" s="117"/>
      <c r="K103" s="117"/>
      <c r="L103" s="117"/>
      <c r="M103" s="117"/>
      <c r="N103" s="117"/>
      <c r="O103" s="117"/>
      <c r="P103" s="117"/>
      <c r="Q103" s="122"/>
      <c r="R103" s="122"/>
      <c r="S103" s="122"/>
      <c r="T103" s="124"/>
      <c r="U103" s="122"/>
      <c r="V103" s="122"/>
      <c r="W103" s="124"/>
      <c r="X103" s="122"/>
      <c r="Y103" s="122"/>
      <c r="Z103" s="124"/>
      <c r="AA103" s="122"/>
      <c r="AB103" s="122"/>
      <c r="AC103" s="124"/>
      <c r="AD103" s="122"/>
      <c r="AE103" s="122"/>
      <c r="AF103" s="124"/>
      <c r="AG103" s="122"/>
      <c r="AH103" s="122"/>
      <c r="AI103" s="124"/>
      <c r="AJ103" s="122"/>
      <c r="AK103" s="122"/>
      <c r="AL103" s="124"/>
      <c r="AM103" s="122"/>
      <c r="AN103" s="122"/>
      <c r="AO103" s="124"/>
      <c r="AP103" s="122"/>
      <c r="AQ103" s="122"/>
      <c r="AR103" s="124"/>
      <c r="AS103" s="122"/>
      <c r="AT103" s="122"/>
      <c r="AU103" s="124"/>
      <c r="AV103" s="122"/>
      <c r="AW103" s="122"/>
      <c r="AX103" s="124"/>
      <c r="AY103" s="122"/>
      <c r="AZ103" s="122"/>
      <c r="BA103" s="124"/>
      <c r="BB103" s="122"/>
      <c r="BC103" s="122"/>
      <c r="BD103" s="124"/>
      <c r="BE103" s="122"/>
      <c r="BF103" s="122"/>
      <c r="BG103" s="124"/>
      <c r="BH103" s="122"/>
      <c r="BI103" s="122"/>
      <c r="BJ103" s="124"/>
      <c r="BK103" s="122"/>
      <c r="BL103" s="122"/>
      <c r="BM103" s="124"/>
      <c r="BN103" s="122"/>
      <c r="BO103" s="122"/>
      <c r="BP103" s="124"/>
      <c r="BQ103" s="122"/>
      <c r="BR103" s="122"/>
      <c r="BS103" s="124"/>
      <c r="BT103" s="122"/>
      <c r="BU103" s="122"/>
      <c r="BV103" s="124"/>
      <c r="BW103" s="122"/>
      <c r="BX103" s="122"/>
      <c r="BY103" s="124"/>
      <c r="EQ103" s="119"/>
      <c r="ER103" s="119"/>
      <c r="ES103" s="119"/>
      <c r="ET103" s="119"/>
      <c r="EU103" s="119"/>
      <c r="EV103" s="119"/>
      <c r="EW103" s="119"/>
      <c r="EX103" s="119"/>
      <c r="EY103" s="119"/>
      <c r="EZ103" s="119"/>
      <c r="FA103" s="119"/>
      <c r="FB103" s="119"/>
    </row>
    <row r="104" spans="2:158" ht="13.5" customHeight="1" x14ac:dyDescent="0.2">
      <c r="B104" s="117"/>
      <c r="C104" s="117"/>
      <c r="D104" s="117"/>
      <c r="E104" s="117"/>
      <c r="F104" s="117"/>
      <c r="G104" s="117"/>
      <c r="H104" s="117"/>
      <c r="I104" s="117"/>
      <c r="J104" s="117"/>
      <c r="K104" s="117"/>
      <c r="L104" s="117"/>
      <c r="M104" s="117"/>
      <c r="N104" s="117"/>
      <c r="O104" s="117"/>
      <c r="P104" s="117"/>
      <c r="Q104" s="122"/>
      <c r="R104" s="122"/>
      <c r="S104" s="122"/>
      <c r="T104" s="124"/>
      <c r="U104" s="122"/>
      <c r="V104" s="122"/>
      <c r="W104" s="124"/>
      <c r="X104" s="122"/>
      <c r="Y104" s="122"/>
      <c r="Z104" s="124"/>
      <c r="AA104" s="122"/>
      <c r="AB104" s="122"/>
      <c r="AC104" s="124"/>
      <c r="AD104" s="122"/>
      <c r="AE104" s="122"/>
      <c r="AF104" s="124"/>
      <c r="AG104" s="122"/>
      <c r="AH104" s="122"/>
      <c r="AI104" s="124"/>
      <c r="AJ104" s="122"/>
      <c r="AK104" s="122"/>
      <c r="AL104" s="124"/>
      <c r="AM104" s="122"/>
      <c r="AN104" s="122"/>
      <c r="AO104" s="124"/>
      <c r="AP104" s="122"/>
      <c r="AQ104" s="122"/>
      <c r="AR104" s="124"/>
      <c r="AS104" s="122"/>
      <c r="AT104" s="122"/>
      <c r="AU104" s="124"/>
      <c r="AV104" s="122"/>
      <c r="AW104" s="122"/>
      <c r="AX104" s="124"/>
      <c r="AY104" s="122"/>
      <c r="AZ104" s="122"/>
      <c r="BA104" s="124"/>
      <c r="BB104" s="122"/>
      <c r="BC104" s="122"/>
      <c r="BD104" s="124"/>
      <c r="BE104" s="122"/>
      <c r="BF104" s="122"/>
      <c r="BG104" s="124"/>
      <c r="BH104" s="122"/>
      <c r="BI104" s="122"/>
      <c r="BJ104" s="124"/>
      <c r="BK104" s="122"/>
      <c r="BL104" s="122"/>
      <c r="BM104" s="124"/>
      <c r="BN104" s="122"/>
      <c r="BO104" s="122"/>
      <c r="BP104" s="124"/>
      <c r="BQ104" s="122"/>
      <c r="BR104" s="122"/>
      <c r="BS104" s="124"/>
      <c r="BT104" s="122"/>
      <c r="BU104" s="122"/>
      <c r="BV104" s="124"/>
      <c r="BW104" s="122"/>
      <c r="BX104" s="122"/>
      <c r="BY104" s="124"/>
      <c r="EQ104" s="119"/>
      <c r="ER104" s="119"/>
      <c r="ES104" s="119"/>
      <c r="ET104" s="119"/>
      <c r="EU104" s="119"/>
      <c r="EV104" s="119"/>
      <c r="EW104" s="119"/>
      <c r="EX104" s="119"/>
      <c r="EY104" s="119"/>
      <c r="EZ104" s="119"/>
      <c r="FA104" s="119"/>
      <c r="FB104" s="119"/>
    </row>
    <row r="105" spans="2:158" ht="13.5" customHeight="1" x14ac:dyDescent="0.2">
      <c r="B105" s="117"/>
      <c r="C105" s="117"/>
      <c r="D105" s="117"/>
      <c r="E105" s="117"/>
      <c r="F105" s="117"/>
      <c r="G105" s="117"/>
      <c r="H105" s="117"/>
      <c r="I105" s="117"/>
      <c r="J105" s="117"/>
      <c r="K105" s="117"/>
      <c r="L105" s="117"/>
      <c r="M105" s="117"/>
      <c r="N105" s="117"/>
      <c r="O105" s="117"/>
      <c r="P105" s="117"/>
      <c r="Q105" s="122"/>
      <c r="R105" s="122"/>
      <c r="S105" s="122"/>
      <c r="T105" s="124"/>
      <c r="U105" s="122"/>
      <c r="V105" s="122"/>
      <c r="W105" s="124"/>
      <c r="X105" s="122"/>
      <c r="Y105" s="122"/>
      <c r="Z105" s="124"/>
      <c r="AA105" s="122"/>
      <c r="AB105" s="122"/>
      <c r="AC105" s="124"/>
      <c r="AD105" s="122"/>
      <c r="AE105" s="122"/>
      <c r="AF105" s="124"/>
      <c r="AG105" s="122"/>
      <c r="AH105" s="122"/>
      <c r="AI105" s="124"/>
      <c r="AJ105" s="122"/>
      <c r="AK105" s="122"/>
      <c r="AL105" s="124"/>
      <c r="AM105" s="122"/>
      <c r="AN105" s="122"/>
      <c r="AO105" s="124"/>
      <c r="AP105" s="122"/>
      <c r="AQ105" s="122"/>
      <c r="AR105" s="124"/>
      <c r="AS105" s="122"/>
      <c r="AT105" s="122"/>
      <c r="AU105" s="124"/>
      <c r="AV105" s="122"/>
      <c r="AW105" s="122"/>
      <c r="AX105" s="124"/>
      <c r="AY105" s="122"/>
      <c r="AZ105" s="122"/>
      <c r="BA105" s="124"/>
      <c r="BB105" s="122"/>
      <c r="BC105" s="122"/>
      <c r="BD105" s="124"/>
      <c r="BE105" s="122"/>
      <c r="BF105" s="122"/>
      <c r="BG105" s="124"/>
      <c r="BH105" s="122"/>
      <c r="BI105" s="122"/>
      <c r="BJ105" s="124"/>
      <c r="BK105" s="122"/>
      <c r="BL105" s="122"/>
      <c r="BM105" s="124"/>
      <c r="BN105" s="122"/>
      <c r="BO105" s="122"/>
      <c r="BP105" s="124"/>
      <c r="BQ105" s="122"/>
      <c r="BR105" s="122"/>
      <c r="BS105" s="124"/>
      <c r="BT105" s="122"/>
      <c r="BU105" s="122"/>
      <c r="BV105" s="124"/>
      <c r="BW105" s="122"/>
      <c r="BX105" s="122"/>
      <c r="BY105" s="124"/>
      <c r="EQ105" s="119"/>
      <c r="ER105" s="119"/>
      <c r="ES105" s="119"/>
      <c r="ET105" s="119"/>
      <c r="EU105" s="119"/>
      <c r="EV105" s="119"/>
      <c r="EW105" s="119"/>
      <c r="EX105" s="119"/>
      <c r="EY105" s="119"/>
      <c r="EZ105" s="119"/>
      <c r="FA105" s="119"/>
      <c r="FB105" s="119"/>
    </row>
    <row r="106" spans="2:158" ht="13.5" customHeight="1" x14ac:dyDescent="0.2">
      <c r="B106" s="117"/>
      <c r="C106" s="117"/>
      <c r="D106" s="117"/>
      <c r="E106" s="117"/>
      <c r="F106" s="117"/>
      <c r="G106" s="117"/>
      <c r="H106" s="117"/>
      <c r="I106" s="117"/>
      <c r="J106" s="117"/>
      <c r="K106" s="117"/>
      <c r="L106" s="117"/>
      <c r="M106" s="117"/>
      <c r="N106" s="117"/>
      <c r="O106" s="117"/>
      <c r="P106" s="117"/>
      <c r="Q106" s="122"/>
      <c r="R106" s="122"/>
      <c r="S106" s="122"/>
      <c r="T106" s="124"/>
      <c r="U106" s="122"/>
      <c r="V106" s="122"/>
      <c r="W106" s="124"/>
      <c r="X106" s="122"/>
      <c r="Y106" s="122"/>
      <c r="Z106" s="124"/>
      <c r="AA106" s="122"/>
      <c r="AB106" s="122"/>
      <c r="AC106" s="124"/>
      <c r="AD106" s="122"/>
      <c r="AE106" s="122"/>
      <c r="AF106" s="124"/>
      <c r="AG106" s="122"/>
      <c r="AH106" s="122"/>
      <c r="AI106" s="124"/>
      <c r="AJ106" s="122"/>
      <c r="AK106" s="122"/>
      <c r="AL106" s="124"/>
      <c r="AM106" s="122"/>
      <c r="AN106" s="122"/>
      <c r="AO106" s="124"/>
      <c r="AP106" s="122"/>
      <c r="AQ106" s="122"/>
      <c r="AR106" s="124"/>
      <c r="AS106" s="122"/>
      <c r="AT106" s="122"/>
      <c r="AU106" s="124"/>
      <c r="AV106" s="122"/>
      <c r="AW106" s="122"/>
      <c r="AX106" s="124"/>
      <c r="AY106" s="122"/>
      <c r="AZ106" s="122"/>
      <c r="BA106" s="124"/>
      <c r="BB106" s="122"/>
      <c r="BC106" s="122"/>
      <c r="BD106" s="124"/>
      <c r="BE106" s="122"/>
      <c r="BF106" s="122"/>
      <c r="BG106" s="124"/>
      <c r="BH106" s="122"/>
      <c r="BI106" s="122"/>
      <c r="BJ106" s="124"/>
      <c r="BK106" s="122"/>
      <c r="BL106" s="122"/>
      <c r="BM106" s="124"/>
      <c r="BN106" s="122"/>
      <c r="BO106" s="122"/>
      <c r="BP106" s="124"/>
      <c r="BQ106" s="122"/>
      <c r="BR106" s="122"/>
      <c r="BS106" s="124"/>
      <c r="BT106" s="122"/>
      <c r="BU106" s="122"/>
      <c r="BV106" s="124"/>
      <c r="BW106" s="122"/>
      <c r="BX106" s="122"/>
      <c r="BY106" s="124"/>
      <c r="EQ106" s="119"/>
      <c r="ER106" s="119"/>
      <c r="ES106" s="119"/>
      <c r="ET106" s="119"/>
      <c r="EU106" s="119"/>
      <c r="EV106" s="119"/>
      <c r="EW106" s="119"/>
      <c r="EX106" s="119"/>
      <c r="EY106" s="119"/>
      <c r="EZ106" s="119"/>
      <c r="FA106" s="119"/>
      <c r="FB106" s="119"/>
    </row>
    <row r="107" spans="2:158" ht="13.5" customHeight="1" x14ac:dyDescent="0.2">
      <c r="B107" s="117"/>
      <c r="C107" s="117"/>
      <c r="D107" s="117"/>
      <c r="E107" s="117"/>
      <c r="F107" s="117"/>
      <c r="G107" s="117"/>
      <c r="H107" s="117"/>
      <c r="I107" s="117"/>
      <c r="J107" s="117"/>
      <c r="K107" s="117"/>
      <c r="L107" s="117"/>
      <c r="M107" s="117"/>
      <c r="N107" s="117"/>
      <c r="O107" s="117"/>
      <c r="P107" s="117"/>
      <c r="Q107" s="122"/>
      <c r="R107" s="122"/>
      <c r="S107" s="122"/>
      <c r="T107" s="124"/>
      <c r="U107" s="122"/>
      <c r="V107" s="122"/>
      <c r="W107" s="124"/>
      <c r="X107" s="122"/>
      <c r="Y107" s="122"/>
      <c r="Z107" s="124"/>
      <c r="AA107" s="122"/>
      <c r="AB107" s="122"/>
      <c r="AC107" s="124"/>
      <c r="AD107" s="122"/>
      <c r="AE107" s="122"/>
      <c r="AF107" s="124"/>
      <c r="AG107" s="122"/>
      <c r="AH107" s="122"/>
      <c r="AI107" s="124"/>
      <c r="AJ107" s="122"/>
      <c r="AK107" s="122"/>
      <c r="AL107" s="124"/>
      <c r="AM107" s="122"/>
      <c r="AN107" s="122"/>
      <c r="AO107" s="124"/>
      <c r="AP107" s="122"/>
      <c r="AQ107" s="122"/>
      <c r="AR107" s="124"/>
      <c r="AS107" s="122"/>
      <c r="AT107" s="122"/>
      <c r="AU107" s="124"/>
      <c r="AV107" s="122"/>
      <c r="AW107" s="122"/>
      <c r="AX107" s="124"/>
      <c r="AY107" s="122"/>
      <c r="AZ107" s="122"/>
      <c r="BA107" s="124"/>
      <c r="BB107" s="122"/>
      <c r="BC107" s="122"/>
      <c r="BD107" s="124"/>
      <c r="BE107" s="122"/>
      <c r="BF107" s="122"/>
      <c r="BG107" s="124"/>
      <c r="BH107" s="122"/>
      <c r="BI107" s="122"/>
      <c r="BJ107" s="124"/>
      <c r="BK107" s="122"/>
      <c r="BL107" s="122"/>
      <c r="BM107" s="124"/>
      <c r="BN107" s="122"/>
      <c r="BO107" s="122"/>
      <c r="BP107" s="124"/>
      <c r="BQ107" s="122"/>
      <c r="BR107" s="122"/>
      <c r="BS107" s="124"/>
      <c r="BT107" s="122"/>
      <c r="BU107" s="122"/>
      <c r="BV107" s="124"/>
      <c r="BW107" s="122"/>
      <c r="BX107" s="122"/>
      <c r="BY107" s="124"/>
      <c r="EQ107" s="119"/>
      <c r="ER107" s="119"/>
      <c r="ES107" s="119"/>
      <c r="ET107" s="119"/>
      <c r="EU107" s="119"/>
      <c r="EV107" s="119"/>
      <c r="EW107" s="119"/>
      <c r="EX107" s="119"/>
      <c r="EY107" s="119"/>
      <c r="EZ107" s="119"/>
      <c r="FA107" s="119"/>
      <c r="FB107" s="119"/>
    </row>
    <row r="108" spans="2:158" ht="13.5" customHeight="1" x14ac:dyDescent="0.2">
      <c r="B108" s="117"/>
      <c r="C108" s="117"/>
      <c r="D108" s="117"/>
      <c r="E108" s="117"/>
      <c r="F108" s="117"/>
      <c r="G108" s="117"/>
      <c r="H108" s="117"/>
      <c r="I108" s="117"/>
      <c r="J108" s="117"/>
      <c r="K108" s="117"/>
      <c r="L108" s="117"/>
      <c r="M108" s="117"/>
      <c r="N108" s="117"/>
      <c r="O108" s="117"/>
      <c r="P108" s="117"/>
      <c r="Q108" s="122"/>
      <c r="R108" s="122"/>
      <c r="S108" s="122"/>
      <c r="T108" s="124"/>
      <c r="U108" s="122"/>
      <c r="V108" s="122"/>
      <c r="W108" s="124"/>
      <c r="X108" s="122"/>
      <c r="Y108" s="122"/>
      <c r="Z108" s="124"/>
      <c r="AA108" s="122"/>
      <c r="AB108" s="122"/>
      <c r="AC108" s="124"/>
      <c r="AD108" s="122"/>
      <c r="AE108" s="122"/>
      <c r="AF108" s="124"/>
      <c r="AG108" s="122"/>
      <c r="AH108" s="122"/>
      <c r="AI108" s="124"/>
      <c r="AJ108" s="122"/>
      <c r="AK108" s="122"/>
      <c r="AL108" s="124"/>
      <c r="AM108" s="122"/>
      <c r="AN108" s="122"/>
      <c r="AO108" s="124"/>
      <c r="AP108" s="122"/>
      <c r="AQ108" s="122"/>
      <c r="AR108" s="124"/>
      <c r="AS108" s="122"/>
      <c r="AT108" s="122"/>
      <c r="AU108" s="124"/>
      <c r="AV108" s="122"/>
      <c r="AW108" s="122"/>
      <c r="AX108" s="124"/>
      <c r="AY108" s="122"/>
      <c r="AZ108" s="122"/>
      <c r="BA108" s="124"/>
      <c r="BB108" s="122"/>
      <c r="BC108" s="122"/>
      <c r="BD108" s="124"/>
      <c r="BE108" s="122"/>
      <c r="BF108" s="122"/>
      <c r="BG108" s="124"/>
      <c r="BH108" s="122"/>
      <c r="BI108" s="122"/>
      <c r="BJ108" s="124"/>
      <c r="BK108" s="122"/>
      <c r="BL108" s="122"/>
      <c r="BM108" s="124"/>
      <c r="BN108" s="122"/>
      <c r="BO108" s="122"/>
      <c r="BP108" s="124"/>
      <c r="BQ108" s="122"/>
      <c r="BR108" s="122"/>
      <c r="BS108" s="124"/>
      <c r="BT108" s="122"/>
      <c r="BU108" s="122"/>
      <c r="BV108" s="124"/>
      <c r="BW108" s="122"/>
      <c r="BX108" s="122"/>
      <c r="BY108" s="124"/>
      <c r="EQ108" s="119"/>
      <c r="ER108" s="119"/>
      <c r="ES108" s="119"/>
      <c r="ET108" s="119"/>
      <c r="EU108" s="119"/>
      <c r="EV108" s="119"/>
      <c r="EW108" s="119"/>
      <c r="EX108" s="119"/>
      <c r="EY108" s="119"/>
      <c r="EZ108" s="119"/>
      <c r="FA108" s="119"/>
      <c r="FB108" s="119"/>
    </row>
    <row r="109" spans="2:158" ht="13.5" customHeight="1" x14ac:dyDescent="0.2">
      <c r="B109" s="117"/>
      <c r="C109" s="117"/>
      <c r="D109" s="117"/>
      <c r="E109" s="117"/>
      <c r="F109" s="117"/>
      <c r="G109" s="117"/>
      <c r="H109" s="117"/>
      <c r="I109" s="117"/>
      <c r="J109" s="117"/>
      <c r="K109" s="117"/>
      <c r="L109" s="117"/>
      <c r="M109" s="117"/>
      <c r="N109" s="117"/>
      <c r="O109" s="117"/>
      <c r="P109" s="117"/>
      <c r="Q109" s="122"/>
      <c r="R109" s="122"/>
      <c r="S109" s="122"/>
      <c r="T109" s="124"/>
      <c r="U109" s="122"/>
      <c r="V109" s="122"/>
      <c r="W109" s="124"/>
      <c r="X109" s="122"/>
      <c r="Y109" s="122"/>
      <c r="Z109" s="124"/>
      <c r="AA109" s="122"/>
      <c r="AB109" s="122"/>
      <c r="AC109" s="124"/>
      <c r="AD109" s="122"/>
      <c r="AE109" s="122"/>
      <c r="AF109" s="124"/>
      <c r="AG109" s="122"/>
      <c r="AH109" s="122"/>
      <c r="AI109" s="124"/>
      <c r="AJ109" s="122"/>
      <c r="AK109" s="122"/>
      <c r="AL109" s="124"/>
      <c r="AM109" s="122"/>
      <c r="AN109" s="122"/>
      <c r="AO109" s="124"/>
      <c r="AP109" s="122"/>
      <c r="AQ109" s="122"/>
      <c r="AR109" s="124"/>
      <c r="AS109" s="122"/>
      <c r="AT109" s="122"/>
      <c r="AU109" s="124"/>
      <c r="AV109" s="122"/>
      <c r="AW109" s="122"/>
      <c r="AX109" s="124"/>
      <c r="AY109" s="122"/>
      <c r="AZ109" s="122"/>
      <c r="BA109" s="124"/>
      <c r="BB109" s="122"/>
      <c r="BC109" s="122"/>
      <c r="BD109" s="124"/>
      <c r="BE109" s="122"/>
      <c r="BF109" s="122"/>
      <c r="BG109" s="124"/>
      <c r="BH109" s="122"/>
      <c r="BI109" s="122"/>
      <c r="BJ109" s="124"/>
      <c r="BK109" s="122"/>
      <c r="BL109" s="122"/>
      <c r="BM109" s="124"/>
      <c r="BN109" s="122"/>
      <c r="BO109" s="122"/>
      <c r="BP109" s="124"/>
      <c r="BQ109" s="122"/>
      <c r="BR109" s="122"/>
      <c r="BS109" s="124"/>
      <c r="BT109" s="122"/>
      <c r="BU109" s="122"/>
      <c r="BV109" s="124"/>
      <c r="BW109" s="122"/>
      <c r="BX109" s="122"/>
      <c r="BY109" s="124"/>
      <c r="EQ109" s="119"/>
      <c r="ER109" s="119"/>
      <c r="ES109" s="119"/>
      <c r="ET109" s="119"/>
      <c r="EU109" s="119"/>
      <c r="EV109" s="119"/>
      <c r="EW109" s="119"/>
      <c r="EX109" s="119"/>
      <c r="EY109" s="119"/>
      <c r="EZ109" s="119"/>
      <c r="FA109" s="119"/>
      <c r="FB109" s="119"/>
    </row>
    <row r="110" spans="2:158" ht="13.5" customHeight="1" x14ac:dyDescent="0.2">
      <c r="B110" s="117"/>
      <c r="C110" s="117"/>
      <c r="D110" s="117"/>
      <c r="E110" s="117"/>
      <c r="F110" s="117"/>
      <c r="G110" s="117"/>
      <c r="H110" s="117"/>
      <c r="I110" s="117"/>
      <c r="J110" s="117"/>
      <c r="K110" s="117"/>
      <c r="L110" s="117"/>
      <c r="M110" s="117"/>
      <c r="N110" s="117"/>
      <c r="O110" s="117"/>
      <c r="P110" s="117"/>
      <c r="Q110" s="122"/>
      <c r="R110" s="122"/>
      <c r="S110" s="122"/>
      <c r="T110" s="124"/>
      <c r="U110" s="122"/>
      <c r="V110" s="122"/>
      <c r="W110" s="124"/>
      <c r="X110" s="122"/>
      <c r="Y110" s="122"/>
      <c r="Z110" s="124"/>
      <c r="AA110" s="122"/>
      <c r="AB110" s="122"/>
      <c r="AC110" s="124"/>
      <c r="AD110" s="122"/>
      <c r="AE110" s="122"/>
      <c r="AF110" s="124"/>
      <c r="AG110" s="122"/>
      <c r="AH110" s="122"/>
      <c r="AI110" s="124"/>
      <c r="AJ110" s="122"/>
      <c r="AK110" s="122"/>
      <c r="AL110" s="124"/>
      <c r="AM110" s="122"/>
      <c r="AN110" s="122"/>
      <c r="AO110" s="124"/>
      <c r="AP110" s="122"/>
      <c r="AQ110" s="122"/>
      <c r="AR110" s="124"/>
      <c r="AS110" s="122"/>
      <c r="AT110" s="122"/>
      <c r="AU110" s="124"/>
      <c r="AV110" s="122"/>
      <c r="AW110" s="122"/>
      <c r="AX110" s="124"/>
      <c r="AY110" s="122"/>
      <c r="AZ110" s="122"/>
      <c r="BA110" s="124"/>
      <c r="BB110" s="122"/>
      <c r="BC110" s="122"/>
      <c r="BD110" s="124"/>
      <c r="BE110" s="122"/>
      <c r="BF110" s="122"/>
      <c r="BG110" s="124"/>
      <c r="BH110" s="122"/>
      <c r="BI110" s="122"/>
      <c r="BJ110" s="124"/>
      <c r="BK110" s="122"/>
      <c r="BL110" s="122"/>
      <c r="BM110" s="124"/>
      <c r="BN110" s="122"/>
      <c r="BO110" s="122"/>
      <c r="BP110" s="124"/>
      <c r="BQ110" s="122"/>
      <c r="BR110" s="122"/>
      <c r="BS110" s="124"/>
      <c r="BT110" s="122"/>
      <c r="BU110" s="122"/>
      <c r="BV110" s="124"/>
      <c r="BW110" s="122"/>
      <c r="BX110" s="122"/>
      <c r="BY110" s="124"/>
      <c r="EQ110" s="119"/>
      <c r="ER110" s="119"/>
      <c r="ES110" s="119"/>
      <c r="ET110" s="119"/>
      <c r="EU110" s="119"/>
      <c r="EV110" s="119"/>
      <c r="EW110" s="119"/>
      <c r="EX110" s="119"/>
      <c r="EY110" s="119"/>
      <c r="EZ110" s="119"/>
      <c r="FA110" s="119"/>
      <c r="FB110" s="119"/>
    </row>
    <row r="111" spans="2:158" ht="13.5" customHeight="1" x14ac:dyDescent="0.2">
      <c r="B111" s="117"/>
      <c r="C111" s="117"/>
      <c r="D111" s="117"/>
      <c r="E111" s="117"/>
      <c r="F111" s="117"/>
      <c r="G111" s="117"/>
      <c r="H111" s="117"/>
      <c r="I111" s="117"/>
      <c r="J111" s="117"/>
      <c r="K111" s="117"/>
      <c r="L111" s="117"/>
      <c r="M111" s="117"/>
      <c r="N111" s="117"/>
      <c r="O111" s="117"/>
      <c r="P111" s="117"/>
      <c r="Q111" s="122"/>
      <c r="R111" s="122"/>
      <c r="S111" s="122"/>
      <c r="T111" s="124"/>
      <c r="U111" s="122"/>
      <c r="V111" s="122"/>
      <c r="W111" s="124"/>
      <c r="X111" s="122"/>
      <c r="Y111" s="122"/>
      <c r="Z111" s="124"/>
      <c r="AA111" s="122"/>
      <c r="AB111" s="122"/>
      <c r="AC111" s="124"/>
      <c r="AD111" s="122"/>
      <c r="AE111" s="122"/>
      <c r="AF111" s="124"/>
      <c r="AG111" s="122"/>
      <c r="AH111" s="122"/>
      <c r="AI111" s="124"/>
      <c r="AJ111" s="122"/>
      <c r="AK111" s="122"/>
      <c r="AL111" s="124"/>
      <c r="AM111" s="122"/>
      <c r="AN111" s="122"/>
      <c r="AO111" s="124"/>
      <c r="AP111" s="122"/>
      <c r="AQ111" s="122"/>
      <c r="AR111" s="124"/>
      <c r="AS111" s="122"/>
      <c r="AT111" s="122"/>
      <c r="AU111" s="124"/>
      <c r="AV111" s="122"/>
      <c r="AW111" s="122"/>
      <c r="AX111" s="124"/>
      <c r="AY111" s="122"/>
      <c r="AZ111" s="122"/>
      <c r="BA111" s="124"/>
      <c r="BB111" s="122"/>
      <c r="BC111" s="122"/>
      <c r="BD111" s="124"/>
      <c r="BE111" s="122"/>
      <c r="BF111" s="122"/>
      <c r="BG111" s="124"/>
      <c r="BH111" s="122"/>
      <c r="BI111" s="122"/>
      <c r="BJ111" s="124"/>
      <c r="BK111" s="122"/>
      <c r="BL111" s="122"/>
      <c r="BM111" s="124"/>
      <c r="BN111" s="122"/>
      <c r="BO111" s="122"/>
      <c r="BP111" s="124"/>
      <c r="BQ111" s="122"/>
      <c r="BR111" s="122"/>
      <c r="BS111" s="124"/>
      <c r="BT111" s="122"/>
      <c r="BU111" s="122"/>
      <c r="BV111" s="124"/>
      <c r="BW111" s="122"/>
      <c r="BX111" s="122"/>
      <c r="BY111" s="124"/>
      <c r="EQ111" s="119"/>
      <c r="ER111" s="119"/>
      <c r="ES111" s="119"/>
      <c r="ET111" s="119"/>
      <c r="EU111" s="119"/>
      <c r="EV111" s="119"/>
      <c r="EW111" s="119"/>
      <c r="EX111" s="119"/>
      <c r="EY111" s="119"/>
      <c r="EZ111" s="119"/>
      <c r="FA111" s="119"/>
      <c r="FB111" s="119"/>
    </row>
    <row r="112" spans="2:158" ht="13.5" customHeight="1" x14ac:dyDescent="0.2">
      <c r="B112" s="117"/>
      <c r="C112" s="117"/>
      <c r="D112" s="117"/>
      <c r="E112" s="117"/>
      <c r="F112" s="117"/>
      <c r="G112" s="117"/>
      <c r="H112" s="117"/>
      <c r="I112" s="117"/>
      <c r="J112" s="117"/>
      <c r="K112" s="117"/>
      <c r="L112" s="117"/>
      <c r="M112" s="117"/>
      <c r="N112" s="117"/>
      <c r="O112" s="117"/>
      <c r="P112" s="117"/>
      <c r="Q112" s="122"/>
      <c r="R112" s="122"/>
      <c r="S112" s="122"/>
      <c r="T112" s="124"/>
      <c r="U112" s="122"/>
      <c r="V112" s="122"/>
      <c r="W112" s="124"/>
      <c r="X112" s="122"/>
      <c r="Y112" s="122"/>
      <c r="Z112" s="124"/>
      <c r="AA112" s="122"/>
      <c r="AB112" s="122"/>
      <c r="AC112" s="124"/>
      <c r="AD112" s="122"/>
      <c r="AE112" s="122"/>
      <c r="AF112" s="124"/>
      <c r="AG112" s="122"/>
      <c r="AH112" s="122"/>
      <c r="AI112" s="124"/>
      <c r="AJ112" s="122"/>
      <c r="AK112" s="122"/>
      <c r="AL112" s="124"/>
      <c r="AM112" s="122"/>
      <c r="AN112" s="122"/>
      <c r="AO112" s="124"/>
      <c r="AP112" s="122"/>
      <c r="AQ112" s="122"/>
      <c r="AR112" s="124"/>
      <c r="AS112" s="122"/>
      <c r="AT112" s="122"/>
      <c r="AU112" s="124"/>
      <c r="AV112" s="122"/>
      <c r="AW112" s="122"/>
      <c r="AX112" s="124"/>
      <c r="AY112" s="122"/>
      <c r="AZ112" s="122"/>
      <c r="BA112" s="124"/>
      <c r="BB112" s="122"/>
      <c r="BC112" s="122"/>
      <c r="BD112" s="124"/>
      <c r="BE112" s="122"/>
      <c r="BF112" s="122"/>
      <c r="BG112" s="124"/>
      <c r="BH112" s="122"/>
      <c r="BI112" s="122"/>
      <c r="BJ112" s="124"/>
      <c r="BK112" s="122"/>
      <c r="BL112" s="122"/>
      <c r="BM112" s="124"/>
      <c r="BN112" s="122"/>
      <c r="BO112" s="122"/>
      <c r="BP112" s="124"/>
      <c r="BQ112" s="122"/>
      <c r="BR112" s="122"/>
      <c r="BS112" s="124"/>
      <c r="BT112" s="122"/>
      <c r="BU112" s="122"/>
      <c r="BV112" s="124"/>
      <c r="BW112" s="122"/>
      <c r="BX112" s="122"/>
      <c r="BY112" s="124"/>
      <c r="EQ112" s="119"/>
      <c r="ER112" s="119"/>
      <c r="ES112" s="119"/>
      <c r="ET112" s="119"/>
      <c r="EU112" s="119"/>
      <c r="EV112" s="119"/>
      <c r="EW112" s="119"/>
      <c r="EX112" s="119"/>
      <c r="EY112" s="119"/>
      <c r="EZ112" s="119"/>
      <c r="FA112" s="119"/>
      <c r="FB112" s="119"/>
    </row>
    <row r="113" spans="2:158" ht="13.5" customHeight="1" x14ac:dyDescent="0.2">
      <c r="B113" s="117"/>
      <c r="C113" s="117"/>
      <c r="D113" s="117"/>
      <c r="E113" s="117"/>
      <c r="F113" s="117"/>
      <c r="G113" s="117"/>
      <c r="H113" s="117"/>
      <c r="I113" s="117"/>
      <c r="J113" s="117"/>
      <c r="K113" s="117"/>
      <c r="L113" s="117"/>
      <c r="M113" s="117"/>
      <c r="N113" s="117"/>
      <c r="O113" s="117"/>
      <c r="P113" s="117"/>
      <c r="Q113" s="122"/>
      <c r="R113" s="122"/>
      <c r="S113" s="122"/>
      <c r="T113" s="124"/>
      <c r="U113" s="122"/>
      <c r="V113" s="122"/>
      <c r="W113" s="124"/>
      <c r="X113" s="122"/>
      <c r="Y113" s="122"/>
      <c r="Z113" s="124"/>
      <c r="AA113" s="122"/>
      <c r="AB113" s="122"/>
      <c r="AC113" s="124"/>
      <c r="AD113" s="122"/>
      <c r="AE113" s="122"/>
      <c r="AF113" s="124"/>
      <c r="AG113" s="122"/>
      <c r="AH113" s="122"/>
      <c r="AI113" s="124"/>
      <c r="AJ113" s="122"/>
      <c r="AK113" s="122"/>
      <c r="AL113" s="124"/>
      <c r="AM113" s="122"/>
      <c r="AN113" s="122"/>
      <c r="AO113" s="124"/>
      <c r="AP113" s="122"/>
      <c r="AQ113" s="122"/>
      <c r="AR113" s="124"/>
      <c r="AS113" s="122"/>
      <c r="AT113" s="122"/>
      <c r="AU113" s="124"/>
      <c r="AV113" s="122"/>
      <c r="AW113" s="122"/>
      <c r="AX113" s="124"/>
      <c r="AY113" s="122"/>
      <c r="AZ113" s="122"/>
      <c r="BA113" s="124"/>
      <c r="BB113" s="122"/>
      <c r="BC113" s="122"/>
      <c r="BD113" s="124"/>
      <c r="BE113" s="122"/>
      <c r="BF113" s="122"/>
      <c r="BG113" s="124"/>
      <c r="BH113" s="122"/>
      <c r="BI113" s="122"/>
      <c r="BJ113" s="124"/>
      <c r="BK113" s="122"/>
      <c r="BL113" s="122"/>
      <c r="BM113" s="124"/>
      <c r="BN113" s="122"/>
      <c r="BO113" s="122"/>
      <c r="BP113" s="124"/>
      <c r="BQ113" s="122"/>
      <c r="BR113" s="122"/>
      <c r="BS113" s="124"/>
      <c r="BT113" s="122"/>
      <c r="BU113" s="122"/>
      <c r="BV113" s="124"/>
      <c r="BW113" s="122"/>
      <c r="BX113" s="122"/>
      <c r="BY113" s="124"/>
      <c r="EQ113" s="119"/>
      <c r="ER113" s="119"/>
      <c r="ES113" s="119"/>
      <c r="ET113" s="119"/>
      <c r="EU113" s="119"/>
      <c r="EV113" s="119"/>
      <c r="EW113" s="119"/>
      <c r="EX113" s="119"/>
      <c r="EY113" s="119"/>
      <c r="EZ113" s="119"/>
      <c r="FA113" s="119"/>
      <c r="FB113" s="119"/>
    </row>
    <row r="114" spans="2:158" ht="13.5" customHeight="1" x14ac:dyDescent="0.2">
      <c r="B114" s="117"/>
      <c r="C114" s="117"/>
      <c r="D114" s="117"/>
      <c r="E114" s="117"/>
      <c r="F114" s="117"/>
      <c r="G114" s="117"/>
      <c r="H114" s="117"/>
      <c r="I114" s="117"/>
      <c r="J114" s="117"/>
      <c r="K114" s="117"/>
      <c r="L114" s="117"/>
      <c r="M114" s="117"/>
      <c r="N114" s="117"/>
      <c r="O114" s="117"/>
      <c r="P114" s="117"/>
      <c r="Q114" s="122"/>
      <c r="R114" s="122"/>
      <c r="S114" s="122"/>
      <c r="T114" s="124"/>
      <c r="U114" s="122"/>
      <c r="V114" s="122"/>
      <c r="W114" s="124"/>
      <c r="X114" s="122"/>
      <c r="Y114" s="122"/>
      <c r="Z114" s="124"/>
      <c r="AA114" s="122"/>
      <c r="AB114" s="122"/>
      <c r="AC114" s="124"/>
      <c r="AD114" s="122"/>
      <c r="AE114" s="122"/>
      <c r="AF114" s="124"/>
      <c r="AG114" s="122"/>
      <c r="AH114" s="122"/>
      <c r="AI114" s="124"/>
      <c r="AJ114" s="122"/>
      <c r="AK114" s="122"/>
      <c r="AL114" s="124"/>
      <c r="AM114" s="122"/>
      <c r="AN114" s="122"/>
      <c r="AO114" s="124"/>
      <c r="AP114" s="122"/>
      <c r="AQ114" s="122"/>
      <c r="AR114" s="124"/>
      <c r="AS114" s="122"/>
      <c r="AT114" s="122"/>
      <c r="AU114" s="124"/>
      <c r="AV114" s="122"/>
      <c r="AW114" s="122"/>
      <c r="AX114" s="124"/>
      <c r="AY114" s="122"/>
      <c r="AZ114" s="122"/>
      <c r="BA114" s="124"/>
      <c r="BB114" s="122"/>
      <c r="BC114" s="122"/>
      <c r="BD114" s="124"/>
      <c r="BE114" s="122"/>
      <c r="BF114" s="122"/>
      <c r="BG114" s="124"/>
      <c r="BH114" s="122"/>
      <c r="BI114" s="122"/>
      <c r="BJ114" s="124"/>
      <c r="BK114" s="122"/>
      <c r="BL114" s="122"/>
      <c r="BM114" s="124"/>
      <c r="BN114" s="122"/>
      <c r="BO114" s="122"/>
      <c r="BP114" s="124"/>
      <c r="BQ114" s="122"/>
      <c r="BR114" s="122"/>
      <c r="BS114" s="124"/>
      <c r="BT114" s="122"/>
      <c r="BU114" s="122"/>
      <c r="BV114" s="124"/>
      <c r="BW114" s="122"/>
      <c r="BX114" s="122"/>
      <c r="BY114" s="124"/>
      <c r="EQ114" s="119"/>
      <c r="ER114" s="119"/>
      <c r="ES114" s="119"/>
      <c r="ET114" s="119"/>
      <c r="EU114" s="119"/>
      <c r="EV114" s="119"/>
      <c r="EW114" s="119"/>
      <c r="EX114" s="119"/>
      <c r="EY114" s="119"/>
      <c r="EZ114" s="119"/>
      <c r="FA114" s="119"/>
      <c r="FB114" s="119"/>
    </row>
    <row r="115" spans="2:158" ht="13.5" customHeight="1" x14ac:dyDescent="0.2">
      <c r="B115" s="117"/>
      <c r="C115" s="117"/>
      <c r="D115" s="117"/>
      <c r="E115" s="117"/>
      <c r="F115" s="117"/>
      <c r="G115" s="117"/>
      <c r="H115" s="117"/>
      <c r="I115" s="117"/>
      <c r="J115" s="117"/>
      <c r="K115" s="117"/>
      <c r="L115" s="117"/>
      <c r="M115" s="117"/>
      <c r="N115" s="117"/>
      <c r="O115" s="117"/>
      <c r="P115" s="117"/>
      <c r="Q115" s="122"/>
      <c r="R115" s="122"/>
      <c r="S115" s="122"/>
      <c r="T115" s="124"/>
      <c r="U115" s="122"/>
      <c r="V115" s="122"/>
      <c r="W115" s="124"/>
      <c r="X115" s="122"/>
      <c r="Y115" s="122"/>
      <c r="Z115" s="124"/>
      <c r="AA115" s="122"/>
      <c r="AB115" s="122"/>
      <c r="AC115" s="124"/>
      <c r="AD115" s="122"/>
      <c r="AE115" s="122"/>
      <c r="AF115" s="124"/>
      <c r="AG115" s="122"/>
      <c r="AH115" s="122"/>
      <c r="AI115" s="124"/>
      <c r="AJ115" s="122"/>
      <c r="AK115" s="122"/>
      <c r="AL115" s="124"/>
      <c r="AM115" s="122"/>
      <c r="AN115" s="122"/>
      <c r="AO115" s="124"/>
      <c r="AP115" s="122"/>
      <c r="AQ115" s="122"/>
      <c r="AR115" s="124"/>
      <c r="AS115" s="122"/>
      <c r="AT115" s="122"/>
      <c r="AU115" s="124"/>
      <c r="AV115" s="122"/>
      <c r="AW115" s="122"/>
      <c r="AX115" s="124"/>
      <c r="AY115" s="122"/>
      <c r="AZ115" s="122"/>
      <c r="BA115" s="124"/>
      <c r="BB115" s="122"/>
      <c r="BC115" s="122"/>
      <c r="BD115" s="124"/>
      <c r="BE115" s="122"/>
      <c r="BF115" s="122"/>
      <c r="BG115" s="124"/>
      <c r="BH115" s="122"/>
      <c r="BI115" s="122"/>
      <c r="BJ115" s="124"/>
      <c r="BK115" s="122"/>
      <c r="BL115" s="122"/>
      <c r="BM115" s="124"/>
      <c r="BN115" s="122"/>
      <c r="BO115" s="122"/>
      <c r="BP115" s="124"/>
      <c r="BQ115" s="122"/>
      <c r="BR115" s="122"/>
      <c r="BS115" s="124"/>
      <c r="BT115" s="122"/>
      <c r="BU115" s="122"/>
      <c r="BV115" s="124"/>
      <c r="BW115" s="122"/>
      <c r="BX115" s="122"/>
      <c r="BY115" s="124"/>
      <c r="EQ115" s="119"/>
      <c r="ER115" s="119"/>
      <c r="ES115" s="119"/>
      <c r="ET115" s="119"/>
      <c r="EU115" s="119"/>
      <c r="EV115" s="119"/>
      <c r="EW115" s="119"/>
      <c r="EX115" s="119"/>
      <c r="EY115" s="119"/>
      <c r="EZ115" s="119"/>
      <c r="FA115" s="119"/>
      <c r="FB115" s="119"/>
    </row>
    <row r="116" spans="2:158" ht="13.5" customHeight="1" x14ac:dyDescent="0.2">
      <c r="B116" s="117"/>
      <c r="C116" s="117"/>
      <c r="D116" s="117"/>
      <c r="E116" s="117"/>
      <c r="F116" s="117"/>
      <c r="G116" s="117"/>
      <c r="H116" s="117"/>
      <c r="I116" s="117"/>
      <c r="J116" s="117"/>
      <c r="K116" s="117"/>
      <c r="L116" s="117"/>
      <c r="M116" s="117"/>
      <c r="N116" s="117"/>
      <c r="O116" s="117"/>
      <c r="P116" s="117"/>
      <c r="Q116" s="122"/>
      <c r="R116" s="122"/>
      <c r="S116" s="122"/>
      <c r="T116" s="124"/>
      <c r="U116" s="122"/>
      <c r="V116" s="122"/>
      <c r="W116" s="124"/>
      <c r="X116" s="122"/>
      <c r="Y116" s="122"/>
      <c r="Z116" s="124"/>
      <c r="AA116" s="122"/>
      <c r="AB116" s="122"/>
      <c r="AC116" s="124"/>
      <c r="AD116" s="122"/>
      <c r="AE116" s="122"/>
      <c r="AF116" s="124"/>
      <c r="AG116" s="122"/>
      <c r="AH116" s="122"/>
      <c r="AI116" s="124"/>
      <c r="AJ116" s="122"/>
      <c r="AK116" s="122"/>
      <c r="AL116" s="124"/>
      <c r="AM116" s="122"/>
      <c r="AN116" s="122"/>
      <c r="AO116" s="124"/>
      <c r="AP116" s="122"/>
      <c r="AQ116" s="122"/>
      <c r="AR116" s="124"/>
      <c r="AS116" s="122"/>
      <c r="AT116" s="122"/>
      <c r="AU116" s="124"/>
      <c r="AV116" s="122"/>
      <c r="AW116" s="122"/>
      <c r="AX116" s="124"/>
      <c r="AY116" s="122"/>
      <c r="AZ116" s="122"/>
      <c r="BA116" s="124"/>
      <c r="BB116" s="122"/>
      <c r="BC116" s="122"/>
      <c r="BD116" s="124"/>
      <c r="BE116" s="122"/>
      <c r="BF116" s="122"/>
      <c r="BG116" s="124"/>
      <c r="BH116" s="122"/>
      <c r="BI116" s="122"/>
      <c r="BJ116" s="124"/>
      <c r="BK116" s="122"/>
      <c r="BL116" s="122"/>
      <c r="BM116" s="124"/>
      <c r="BN116" s="122"/>
      <c r="BO116" s="122"/>
      <c r="BP116" s="124"/>
      <c r="BQ116" s="122"/>
      <c r="BR116" s="122"/>
      <c r="BS116" s="124"/>
      <c r="BT116" s="122"/>
      <c r="BU116" s="122"/>
      <c r="BV116" s="124"/>
      <c r="BW116" s="122"/>
      <c r="BX116" s="122"/>
      <c r="BY116" s="124"/>
      <c r="EQ116" s="119"/>
      <c r="ER116" s="119"/>
      <c r="ES116" s="119"/>
      <c r="ET116" s="119"/>
      <c r="EU116" s="119"/>
      <c r="EV116" s="119"/>
      <c r="EW116" s="119"/>
      <c r="EX116" s="119"/>
      <c r="EY116" s="119"/>
      <c r="EZ116" s="119"/>
      <c r="FA116" s="119"/>
      <c r="FB116" s="119"/>
    </row>
    <row r="117" spans="2:158" ht="13.5" customHeight="1" x14ac:dyDescent="0.2">
      <c r="B117" s="117"/>
      <c r="C117" s="117"/>
      <c r="D117" s="117"/>
      <c r="E117" s="117"/>
      <c r="F117" s="117"/>
      <c r="G117" s="117"/>
      <c r="H117" s="117"/>
      <c r="I117" s="117"/>
      <c r="J117" s="117"/>
      <c r="K117" s="117"/>
      <c r="L117" s="117"/>
      <c r="M117" s="117"/>
      <c r="N117" s="117"/>
      <c r="O117" s="117"/>
      <c r="P117" s="117"/>
      <c r="Q117" s="122"/>
      <c r="R117" s="122"/>
      <c r="S117" s="122"/>
      <c r="T117" s="124"/>
      <c r="U117" s="122"/>
      <c r="V117" s="122"/>
      <c r="W117" s="124"/>
      <c r="X117" s="122"/>
      <c r="Y117" s="122"/>
      <c r="Z117" s="124"/>
      <c r="AA117" s="122"/>
      <c r="AB117" s="122"/>
      <c r="AC117" s="124"/>
      <c r="AD117" s="122"/>
      <c r="AE117" s="122"/>
      <c r="AF117" s="124"/>
      <c r="AG117" s="122"/>
      <c r="AH117" s="122"/>
      <c r="AI117" s="124"/>
      <c r="AJ117" s="122"/>
      <c r="AK117" s="122"/>
      <c r="AL117" s="124"/>
      <c r="AM117" s="122"/>
      <c r="AN117" s="122"/>
      <c r="AO117" s="124"/>
      <c r="AP117" s="122"/>
      <c r="AQ117" s="122"/>
      <c r="AR117" s="124"/>
      <c r="AS117" s="122"/>
      <c r="AT117" s="122"/>
      <c r="AU117" s="124"/>
      <c r="AV117" s="122"/>
      <c r="AW117" s="122"/>
      <c r="AX117" s="124"/>
      <c r="AY117" s="122"/>
      <c r="AZ117" s="122"/>
      <c r="BA117" s="124"/>
      <c r="BB117" s="122"/>
      <c r="BC117" s="122"/>
      <c r="BD117" s="124"/>
      <c r="BE117" s="122"/>
      <c r="BF117" s="122"/>
      <c r="BG117" s="124"/>
      <c r="BH117" s="122"/>
      <c r="BI117" s="122"/>
      <c r="BJ117" s="124"/>
      <c r="BK117" s="122"/>
      <c r="BL117" s="122"/>
      <c r="BM117" s="124"/>
      <c r="BN117" s="122"/>
      <c r="BO117" s="122"/>
      <c r="BP117" s="124"/>
      <c r="BQ117" s="122"/>
      <c r="BR117" s="122"/>
      <c r="BS117" s="124"/>
      <c r="BT117" s="122"/>
      <c r="BU117" s="122"/>
      <c r="BV117" s="124"/>
      <c r="BW117" s="122"/>
      <c r="BX117" s="122"/>
      <c r="BY117" s="124"/>
      <c r="EQ117" s="119"/>
      <c r="ER117" s="119"/>
      <c r="ES117" s="119"/>
      <c r="ET117" s="119"/>
      <c r="EU117" s="119"/>
      <c r="EV117" s="119"/>
      <c r="EW117" s="119"/>
      <c r="EX117" s="119"/>
      <c r="EY117" s="119"/>
      <c r="EZ117" s="119"/>
      <c r="FA117" s="119"/>
      <c r="FB117" s="119"/>
    </row>
    <row r="118" spans="2:158" ht="13.5" customHeight="1" x14ac:dyDescent="0.2">
      <c r="B118" s="117"/>
      <c r="C118" s="117"/>
      <c r="D118" s="117"/>
      <c r="E118" s="117"/>
      <c r="F118" s="117"/>
      <c r="G118" s="117"/>
      <c r="H118" s="117"/>
      <c r="I118" s="117"/>
      <c r="J118" s="117"/>
      <c r="K118" s="117"/>
      <c r="L118" s="117"/>
      <c r="M118" s="117"/>
      <c r="N118" s="117"/>
      <c r="O118" s="117"/>
      <c r="P118" s="117"/>
      <c r="Q118" s="122"/>
      <c r="R118" s="122"/>
      <c r="S118" s="122"/>
      <c r="T118" s="124"/>
      <c r="U118" s="122"/>
      <c r="V118" s="122"/>
      <c r="W118" s="124"/>
      <c r="X118" s="122"/>
      <c r="Y118" s="122"/>
      <c r="Z118" s="124"/>
      <c r="AA118" s="122"/>
      <c r="AB118" s="122"/>
      <c r="AC118" s="124"/>
      <c r="AD118" s="122"/>
      <c r="AE118" s="122"/>
      <c r="AF118" s="124"/>
      <c r="AG118" s="122"/>
      <c r="AH118" s="122"/>
      <c r="AI118" s="124"/>
      <c r="AJ118" s="122"/>
      <c r="AK118" s="122"/>
      <c r="AL118" s="124"/>
      <c r="AM118" s="122"/>
      <c r="AN118" s="122"/>
      <c r="AO118" s="124"/>
      <c r="AP118" s="122"/>
      <c r="AQ118" s="122"/>
      <c r="AR118" s="124"/>
      <c r="AS118" s="122"/>
      <c r="AT118" s="122"/>
      <c r="AU118" s="124"/>
      <c r="AV118" s="122"/>
      <c r="AW118" s="122"/>
      <c r="AX118" s="124"/>
      <c r="AY118" s="122"/>
      <c r="AZ118" s="122"/>
      <c r="BA118" s="124"/>
      <c r="BB118" s="122"/>
      <c r="BC118" s="122"/>
      <c r="BD118" s="124"/>
      <c r="BE118" s="122"/>
      <c r="BF118" s="122"/>
      <c r="BG118" s="124"/>
      <c r="BH118" s="122"/>
      <c r="BI118" s="122"/>
      <c r="BJ118" s="124"/>
      <c r="BK118" s="122"/>
      <c r="BL118" s="122"/>
      <c r="BM118" s="124"/>
      <c r="BN118" s="122"/>
      <c r="BO118" s="122"/>
      <c r="BP118" s="124"/>
      <c r="BQ118" s="122"/>
      <c r="BR118" s="122"/>
      <c r="BS118" s="124"/>
      <c r="BT118" s="122"/>
      <c r="BU118" s="122"/>
      <c r="BV118" s="124"/>
      <c r="BW118" s="122"/>
      <c r="BX118" s="122"/>
      <c r="BY118" s="124"/>
      <c r="EQ118" s="119"/>
      <c r="ER118" s="119"/>
      <c r="ES118" s="119"/>
      <c r="ET118" s="119"/>
      <c r="EU118" s="119"/>
      <c r="EV118" s="119"/>
      <c r="EW118" s="119"/>
      <c r="EX118" s="119"/>
      <c r="EY118" s="119"/>
      <c r="EZ118" s="119"/>
      <c r="FA118" s="119"/>
      <c r="FB118" s="119"/>
    </row>
    <row r="119" spans="2:158" ht="13.5" customHeight="1" x14ac:dyDescent="0.2">
      <c r="B119" s="117"/>
      <c r="C119" s="117"/>
      <c r="D119" s="117"/>
      <c r="E119" s="117"/>
      <c r="F119" s="117"/>
      <c r="G119" s="117"/>
      <c r="H119" s="117"/>
      <c r="I119" s="117"/>
      <c r="J119" s="117"/>
      <c r="K119" s="117"/>
      <c r="L119" s="117"/>
      <c r="M119" s="117"/>
      <c r="N119" s="117"/>
      <c r="O119" s="117"/>
      <c r="P119" s="117"/>
      <c r="Q119" s="122"/>
      <c r="R119" s="122"/>
      <c r="S119" s="122"/>
      <c r="T119" s="124"/>
      <c r="U119" s="122"/>
      <c r="V119" s="122"/>
      <c r="W119" s="124"/>
      <c r="X119" s="122"/>
      <c r="Y119" s="122"/>
      <c r="Z119" s="124"/>
      <c r="AA119" s="122"/>
      <c r="AB119" s="122"/>
      <c r="AC119" s="124"/>
      <c r="AD119" s="122"/>
      <c r="AE119" s="122"/>
      <c r="AF119" s="124"/>
      <c r="AG119" s="122"/>
      <c r="AH119" s="122"/>
      <c r="AI119" s="124"/>
      <c r="AJ119" s="122"/>
      <c r="AK119" s="122"/>
      <c r="AL119" s="124"/>
      <c r="AM119" s="122"/>
      <c r="AN119" s="122"/>
      <c r="AO119" s="124"/>
      <c r="AP119" s="122"/>
      <c r="AQ119" s="122"/>
      <c r="AR119" s="124"/>
      <c r="AS119" s="122"/>
      <c r="AT119" s="122"/>
      <c r="AU119" s="124"/>
      <c r="AV119" s="122"/>
      <c r="AW119" s="122"/>
      <c r="AX119" s="124"/>
      <c r="AY119" s="122"/>
      <c r="AZ119" s="122"/>
      <c r="BA119" s="124"/>
      <c r="BB119" s="122"/>
      <c r="BC119" s="122"/>
      <c r="BD119" s="124"/>
      <c r="BE119" s="122"/>
      <c r="BF119" s="122"/>
      <c r="BG119" s="124"/>
      <c r="BH119" s="122"/>
      <c r="BI119" s="122"/>
      <c r="BJ119" s="124"/>
      <c r="BK119" s="122"/>
      <c r="BL119" s="122"/>
      <c r="BM119" s="124"/>
      <c r="BN119" s="122"/>
      <c r="BO119" s="122"/>
      <c r="BP119" s="124"/>
      <c r="BQ119" s="122"/>
      <c r="BR119" s="122"/>
      <c r="BS119" s="124"/>
      <c r="BT119" s="122"/>
      <c r="BU119" s="122"/>
      <c r="BV119" s="124"/>
      <c r="BW119" s="122"/>
      <c r="BX119" s="122"/>
      <c r="BY119" s="124"/>
      <c r="EQ119" s="119"/>
      <c r="ER119" s="119"/>
      <c r="ES119" s="119"/>
      <c r="ET119" s="119"/>
      <c r="EU119" s="119"/>
      <c r="EV119" s="119"/>
      <c r="EW119" s="119"/>
      <c r="EX119" s="119"/>
      <c r="EY119" s="119"/>
      <c r="EZ119" s="119"/>
      <c r="FA119" s="119"/>
      <c r="FB119" s="119"/>
    </row>
    <row r="120" spans="2:158" ht="13.5" customHeight="1" x14ac:dyDescent="0.2">
      <c r="B120" s="117"/>
      <c r="C120" s="117"/>
      <c r="D120" s="117"/>
      <c r="E120" s="117"/>
      <c r="F120" s="117"/>
      <c r="G120" s="117"/>
      <c r="H120" s="117"/>
      <c r="I120" s="117"/>
      <c r="J120" s="117"/>
      <c r="K120" s="117"/>
      <c r="L120" s="117"/>
      <c r="M120" s="117"/>
      <c r="N120" s="117"/>
      <c r="O120" s="117"/>
      <c r="P120" s="117"/>
      <c r="Q120" s="122"/>
      <c r="R120" s="122"/>
      <c r="S120" s="122"/>
      <c r="T120" s="124"/>
      <c r="U120" s="122"/>
      <c r="V120" s="122"/>
      <c r="W120" s="124"/>
      <c r="X120" s="122"/>
      <c r="Y120" s="122"/>
      <c r="Z120" s="124"/>
      <c r="AA120" s="122"/>
      <c r="AB120" s="122"/>
      <c r="AC120" s="124"/>
      <c r="AD120" s="122"/>
      <c r="AE120" s="122"/>
      <c r="AF120" s="124"/>
      <c r="AG120" s="122"/>
      <c r="AH120" s="122"/>
      <c r="AI120" s="124"/>
      <c r="AJ120" s="122"/>
      <c r="AK120" s="122"/>
      <c r="AL120" s="124"/>
      <c r="AM120" s="122"/>
      <c r="AN120" s="122"/>
      <c r="AO120" s="124"/>
      <c r="AP120" s="122"/>
      <c r="AQ120" s="122"/>
      <c r="AR120" s="124"/>
      <c r="AS120" s="122"/>
      <c r="AT120" s="122"/>
      <c r="AU120" s="124"/>
      <c r="AV120" s="122"/>
      <c r="AW120" s="122"/>
      <c r="AX120" s="124"/>
      <c r="AY120" s="122"/>
      <c r="AZ120" s="122"/>
      <c r="BA120" s="124"/>
      <c r="BB120" s="122"/>
      <c r="BC120" s="122"/>
      <c r="BD120" s="124"/>
      <c r="BE120" s="122"/>
      <c r="BF120" s="122"/>
      <c r="BG120" s="124"/>
      <c r="BH120" s="122"/>
      <c r="BI120" s="122"/>
      <c r="BJ120" s="124"/>
      <c r="BK120" s="122"/>
      <c r="BL120" s="122"/>
      <c r="BM120" s="124"/>
      <c r="BN120" s="122"/>
      <c r="BO120" s="122"/>
      <c r="BP120" s="124"/>
      <c r="BQ120" s="122"/>
      <c r="BR120" s="122"/>
      <c r="BS120" s="124"/>
      <c r="BT120" s="122"/>
      <c r="BU120" s="122"/>
      <c r="BV120" s="124"/>
      <c r="BW120" s="122"/>
      <c r="BX120" s="122"/>
      <c r="BY120" s="124"/>
      <c r="EQ120" s="119"/>
      <c r="ER120" s="119"/>
      <c r="ES120" s="119"/>
      <c r="ET120" s="119"/>
      <c r="EU120" s="119"/>
      <c r="EV120" s="119"/>
      <c r="EW120" s="119"/>
      <c r="EX120" s="119"/>
      <c r="EY120" s="119"/>
      <c r="EZ120" s="119"/>
      <c r="FA120" s="119"/>
      <c r="FB120" s="119"/>
    </row>
    <row r="121" spans="2:158" ht="13.5" customHeight="1" x14ac:dyDescent="0.2">
      <c r="B121" s="117"/>
      <c r="C121" s="117"/>
      <c r="D121" s="117"/>
      <c r="E121" s="117"/>
      <c r="F121" s="117"/>
      <c r="G121" s="117"/>
      <c r="H121" s="117"/>
      <c r="I121" s="117"/>
      <c r="J121" s="117"/>
      <c r="K121" s="117"/>
      <c r="L121" s="117"/>
      <c r="M121" s="117"/>
      <c r="N121" s="117"/>
      <c r="O121" s="117"/>
      <c r="P121" s="117"/>
      <c r="Q121" s="122"/>
      <c r="R121" s="122"/>
      <c r="S121" s="122"/>
      <c r="T121" s="124"/>
      <c r="U121" s="122"/>
      <c r="V121" s="122"/>
      <c r="W121" s="124"/>
      <c r="X121" s="122"/>
      <c r="Y121" s="122"/>
      <c r="Z121" s="124"/>
      <c r="AA121" s="122"/>
      <c r="AB121" s="122"/>
      <c r="AC121" s="124"/>
      <c r="AD121" s="122"/>
      <c r="AE121" s="122"/>
      <c r="AF121" s="124"/>
      <c r="AG121" s="122"/>
      <c r="AH121" s="122"/>
      <c r="AI121" s="124"/>
      <c r="AJ121" s="122"/>
      <c r="AK121" s="122"/>
      <c r="AL121" s="124"/>
      <c r="AM121" s="122"/>
      <c r="AN121" s="122"/>
      <c r="AO121" s="124"/>
      <c r="AP121" s="122"/>
      <c r="AQ121" s="122"/>
      <c r="AR121" s="124"/>
      <c r="AS121" s="122"/>
      <c r="AT121" s="122"/>
      <c r="AU121" s="124"/>
      <c r="AV121" s="122"/>
      <c r="AW121" s="122"/>
      <c r="AX121" s="124"/>
      <c r="AY121" s="122"/>
      <c r="AZ121" s="122"/>
      <c r="BA121" s="124"/>
      <c r="BB121" s="122"/>
      <c r="BC121" s="122"/>
      <c r="BD121" s="124"/>
      <c r="BE121" s="122"/>
      <c r="BF121" s="122"/>
      <c r="BG121" s="124"/>
      <c r="BH121" s="122"/>
      <c r="BI121" s="122"/>
      <c r="BJ121" s="124"/>
      <c r="BK121" s="122"/>
      <c r="BL121" s="122"/>
      <c r="BM121" s="124"/>
      <c r="BN121" s="122"/>
      <c r="BO121" s="122"/>
      <c r="BP121" s="124"/>
      <c r="BQ121" s="122"/>
      <c r="BR121" s="122"/>
      <c r="BS121" s="124"/>
      <c r="BT121" s="122"/>
      <c r="BU121" s="122"/>
      <c r="BV121" s="124"/>
      <c r="BW121" s="122"/>
      <c r="BX121" s="122"/>
      <c r="BY121" s="124"/>
      <c r="EQ121" s="119"/>
      <c r="ER121" s="119"/>
      <c r="ES121" s="119"/>
      <c r="ET121" s="119"/>
      <c r="EU121" s="119"/>
      <c r="EV121" s="119"/>
      <c r="EW121" s="119"/>
      <c r="EX121" s="119"/>
      <c r="EY121" s="119"/>
      <c r="EZ121" s="119"/>
      <c r="FA121" s="119"/>
      <c r="FB121" s="119"/>
    </row>
    <row r="122" spans="2:158" ht="13.5" customHeight="1" x14ac:dyDescent="0.2">
      <c r="B122" s="117"/>
      <c r="C122" s="117"/>
      <c r="D122" s="117"/>
      <c r="E122" s="117"/>
      <c r="F122" s="117"/>
      <c r="G122" s="117"/>
      <c r="H122" s="117"/>
      <c r="I122" s="117"/>
      <c r="J122" s="117"/>
      <c r="K122" s="117"/>
      <c r="L122" s="117"/>
      <c r="M122" s="117"/>
      <c r="N122" s="117"/>
      <c r="O122" s="117"/>
      <c r="P122" s="117"/>
      <c r="Q122" s="122"/>
      <c r="R122" s="122"/>
      <c r="S122" s="122"/>
      <c r="T122" s="124"/>
      <c r="U122" s="122"/>
      <c r="V122" s="122"/>
      <c r="W122" s="124"/>
      <c r="X122" s="122"/>
      <c r="Y122" s="122"/>
      <c r="Z122" s="124"/>
      <c r="AA122" s="122"/>
      <c r="AB122" s="122"/>
      <c r="AC122" s="124"/>
      <c r="AD122" s="122"/>
      <c r="AE122" s="122"/>
      <c r="AF122" s="124"/>
      <c r="AG122" s="122"/>
      <c r="AH122" s="122"/>
      <c r="AI122" s="124"/>
      <c r="AJ122" s="122"/>
      <c r="AK122" s="122"/>
      <c r="AL122" s="124"/>
      <c r="AM122" s="122"/>
      <c r="AN122" s="122"/>
      <c r="AO122" s="124"/>
      <c r="AP122" s="122"/>
      <c r="AQ122" s="122"/>
      <c r="AR122" s="124"/>
      <c r="AS122" s="122"/>
      <c r="AT122" s="122"/>
      <c r="AU122" s="124"/>
      <c r="AV122" s="122"/>
      <c r="AW122" s="122"/>
      <c r="AX122" s="124"/>
      <c r="AY122" s="122"/>
      <c r="AZ122" s="122"/>
      <c r="BA122" s="124"/>
      <c r="BB122" s="122"/>
      <c r="BC122" s="122"/>
      <c r="BD122" s="124"/>
      <c r="BE122" s="122"/>
      <c r="BF122" s="122"/>
      <c r="BG122" s="124"/>
      <c r="BH122" s="122"/>
      <c r="BI122" s="122"/>
      <c r="BJ122" s="124"/>
      <c r="BK122" s="122"/>
      <c r="BL122" s="122"/>
      <c r="BM122" s="124"/>
      <c r="BN122" s="122"/>
      <c r="BO122" s="122"/>
      <c r="BP122" s="124"/>
      <c r="BQ122" s="122"/>
      <c r="BR122" s="122"/>
      <c r="BS122" s="124"/>
      <c r="BT122" s="122"/>
      <c r="BU122" s="122"/>
      <c r="BV122" s="124"/>
      <c r="BW122" s="122"/>
      <c r="BX122" s="122"/>
      <c r="BY122" s="124"/>
      <c r="EQ122" s="119"/>
      <c r="ER122" s="119"/>
      <c r="ES122" s="119"/>
      <c r="ET122" s="119"/>
      <c r="EU122" s="119"/>
      <c r="EV122" s="119"/>
      <c r="EW122" s="119"/>
      <c r="EX122" s="119"/>
      <c r="EY122" s="119"/>
      <c r="EZ122" s="119"/>
      <c r="FA122" s="119"/>
      <c r="FB122" s="119"/>
    </row>
    <row r="123" spans="2:158" ht="13.5" customHeight="1" x14ac:dyDescent="0.2">
      <c r="B123" s="117"/>
      <c r="C123" s="117"/>
      <c r="D123" s="117"/>
      <c r="E123" s="117"/>
      <c r="F123" s="117"/>
      <c r="G123" s="117"/>
      <c r="H123" s="117"/>
      <c r="I123" s="117"/>
      <c r="J123" s="117"/>
      <c r="K123" s="117"/>
      <c r="L123" s="117"/>
      <c r="M123" s="117"/>
      <c r="N123" s="117"/>
      <c r="O123" s="117"/>
      <c r="P123" s="117"/>
      <c r="Q123" s="122"/>
      <c r="R123" s="122"/>
      <c r="S123" s="122"/>
      <c r="T123" s="124"/>
      <c r="U123" s="122"/>
      <c r="V123" s="122"/>
      <c r="W123" s="124"/>
      <c r="X123" s="122"/>
      <c r="Y123" s="122"/>
      <c r="Z123" s="124"/>
      <c r="AA123" s="122"/>
      <c r="AB123" s="122"/>
      <c r="AC123" s="124"/>
      <c r="AD123" s="122"/>
      <c r="AE123" s="122"/>
      <c r="AF123" s="124"/>
      <c r="AG123" s="122"/>
      <c r="AH123" s="122"/>
      <c r="AI123" s="124"/>
      <c r="AJ123" s="122"/>
      <c r="AK123" s="122"/>
      <c r="AL123" s="124"/>
      <c r="AM123" s="122"/>
      <c r="AN123" s="122"/>
      <c r="AO123" s="124"/>
      <c r="AP123" s="122"/>
      <c r="AQ123" s="122"/>
      <c r="AR123" s="124"/>
      <c r="AS123" s="122"/>
      <c r="AT123" s="122"/>
      <c r="AU123" s="124"/>
      <c r="AV123" s="122"/>
      <c r="AW123" s="122"/>
      <c r="AX123" s="124"/>
      <c r="AY123" s="122"/>
      <c r="AZ123" s="122"/>
      <c r="BA123" s="124"/>
      <c r="BB123" s="122"/>
      <c r="BC123" s="122"/>
      <c r="BD123" s="124"/>
      <c r="BE123" s="122"/>
      <c r="BF123" s="122"/>
      <c r="BG123" s="124"/>
      <c r="BH123" s="122"/>
      <c r="BI123" s="122"/>
      <c r="BJ123" s="124"/>
      <c r="BK123" s="122"/>
      <c r="BL123" s="122"/>
      <c r="BM123" s="124"/>
      <c r="BN123" s="122"/>
      <c r="BO123" s="122"/>
      <c r="BP123" s="124"/>
      <c r="BQ123" s="122"/>
      <c r="BR123" s="122"/>
      <c r="BS123" s="124"/>
      <c r="BT123" s="122"/>
      <c r="BU123" s="122"/>
      <c r="BV123" s="124"/>
      <c r="BW123" s="122"/>
      <c r="BX123" s="122"/>
      <c r="BY123" s="124"/>
      <c r="EQ123" s="119"/>
      <c r="ER123" s="119"/>
      <c r="ES123" s="119"/>
      <c r="ET123" s="119"/>
      <c r="EU123" s="119"/>
      <c r="EV123" s="119"/>
      <c r="EW123" s="119"/>
      <c r="EX123" s="119"/>
      <c r="EY123" s="119"/>
      <c r="EZ123" s="119"/>
      <c r="FA123" s="119"/>
      <c r="FB123" s="119"/>
    </row>
    <row r="124" spans="2:158" ht="13.5" customHeight="1" x14ac:dyDescent="0.2">
      <c r="B124" s="117"/>
      <c r="C124" s="117"/>
      <c r="D124" s="117"/>
      <c r="E124" s="117"/>
      <c r="F124" s="117"/>
      <c r="G124" s="117"/>
      <c r="H124" s="117"/>
      <c r="I124" s="117"/>
      <c r="J124" s="117"/>
      <c r="K124" s="117"/>
      <c r="L124" s="117"/>
      <c r="M124" s="117"/>
      <c r="N124" s="117"/>
      <c r="O124" s="117"/>
      <c r="P124" s="117"/>
      <c r="Q124" s="122"/>
      <c r="R124" s="122"/>
      <c r="S124" s="122"/>
      <c r="T124" s="124"/>
      <c r="U124" s="122"/>
      <c r="V124" s="122"/>
      <c r="W124" s="124"/>
      <c r="X124" s="122"/>
      <c r="Y124" s="122"/>
      <c r="Z124" s="124"/>
      <c r="AA124" s="122"/>
      <c r="AB124" s="122"/>
      <c r="AC124" s="124"/>
      <c r="AD124" s="122"/>
      <c r="AE124" s="122"/>
      <c r="AF124" s="124"/>
      <c r="AG124" s="122"/>
      <c r="AH124" s="122"/>
      <c r="AI124" s="124"/>
      <c r="AJ124" s="122"/>
      <c r="AK124" s="122"/>
      <c r="AL124" s="124"/>
      <c r="AM124" s="122"/>
      <c r="AN124" s="122"/>
      <c r="AO124" s="124"/>
      <c r="AP124" s="122"/>
      <c r="AQ124" s="122"/>
      <c r="AR124" s="124"/>
      <c r="AS124" s="122"/>
      <c r="AT124" s="122"/>
      <c r="AU124" s="124"/>
      <c r="AV124" s="122"/>
      <c r="AW124" s="122"/>
      <c r="AX124" s="124"/>
      <c r="AY124" s="122"/>
      <c r="AZ124" s="122"/>
      <c r="BA124" s="124"/>
      <c r="BB124" s="122"/>
      <c r="BC124" s="122"/>
      <c r="BD124" s="124"/>
      <c r="BE124" s="122"/>
      <c r="BF124" s="122"/>
      <c r="BG124" s="124"/>
      <c r="BH124" s="122"/>
      <c r="BI124" s="122"/>
      <c r="BJ124" s="124"/>
      <c r="BK124" s="122"/>
      <c r="BL124" s="122"/>
      <c r="BM124" s="124"/>
      <c r="BN124" s="122"/>
      <c r="BO124" s="122"/>
      <c r="BP124" s="124"/>
      <c r="BQ124" s="122"/>
      <c r="BR124" s="122"/>
      <c r="BS124" s="124"/>
      <c r="BT124" s="122"/>
      <c r="BU124" s="122"/>
      <c r="BV124" s="124"/>
      <c r="BW124" s="122"/>
      <c r="BX124" s="122"/>
      <c r="BY124" s="124"/>
      <c r="EQ124" s="119"/>
      <c r="ER124" s="119"/>
      <c r="ES124" s="119"/>
      <c r="ET124" s="119"/>
      <c r="EU124" s="119"/>
      <c r="EV124" s="119"/>
      <c r="EW124" s="119"/>
      <c r="EX124" s="119"/>
      <c r="EY124" s="119"/>
      <c r="EZ124" s="119"/>
      <c r="FA124" s="119"/>
      <c r="FB124" s="119"/>
    </row>
    <row r="125" spans="2:158" ht="13.5" customHeight="1" x14ac:dyDescent="0.2">
      <c r="B125" s="117"/>
      <c r="C125" s="117"/>
      <c r="D125" s="117"/>
      <c r="E125" s="117"/>
      <c r="F125" s="117"/>
      <c r="G125" s="117"/>
      <c r="H125" s="117"/>
      <c r="I125" s="117"/>
      <c r="J125" s="117"/>
      <c r="K125" s="117"/>
      <c r="L125" s="117"/>
      <c r="M125" s="117"/>
      <c r="N125" s="117"/>
      <c r="O125" s="117"/>
      <c r="P125" s="117"/>
      <c r="Q125" s="122"/>
      <c r="R125" s="122"/>
      <c r="S125" s="122"/>
      <c r="T125" s="124"/>
      <c r="U125" s="122"/>
      <c r="V125" s="122"/>
      <c r="W125" s="124"/>
      <c r="X125" s="122"/>
      <c r="Y125" s="122"/>
      <c r="Z125" s="124"/>
      <c r="AA125" s="122"/>
      <c r="AB125" s="122"/>
      <c r="AC125" s="124"/>
      <c r="AD125" s="122"/>
      <c r="AE125" s="122"/>
      <c r="AF125" s="124"/>
      <c r="AG125" s="122"/>
      <c r="AH125" s="122"/>
      <c r="AI125" s="124"/>
      <c r="AJ125" s="122"/>
      <c r="AK125" s="122"/>
      <c r="AL125" s="124"/>
      <c r="AM125" s="122"/>
      <c r="AN125" s="122"/>
      <c r="AO125" s="124"/>
      <c r="AP125" s="122"/>
      <c r="AQ125" s="122"/>
      <c r="AR125" s="124"/>
      <c r="AS125" s="122"/>
      <c r="AT125" s="122"/>
      <c r="AU125" s="124"/>
      <c r="AV125" s="122"/>
      <c r="AW125" s="122"/>
      <c r="AX125" s="124"/>
      <c r="AY125" s="122"/>
      <c r="AZ125" s="122"/>
      <c r="BA125" s="124"/>
      <c r="BB125" s="122"/>
      <c r="BC125" s="122"/>
      <c r="BD125" s="124"/>
      <c r="BE125" s="122"/>
      <c r="BF125" s="122"/>
      <c r="BG125" s="124"/>
      <c r="BH125" s="122"/>
      <c r="BI125" s="122"/>
      <c r="BJ125" s="124"/>
      <c r="BK125" s="122"/>
      <c r="BL125" s="122"/>
      <c r="BM125" s="124"/>
      <c r="BN125" s="122"/>
      <c r="BO125" s="122"/>
      <c r="BP125" s="124"/>
      <c r="BQ125" s="122"/>
      <c r="BR125" s="122"/>
      <c r="BS125" s="124"/>
      <c r="BT125" s="122"/>
      <c r="BU125" s="122"/>
      <c r="BV125" s="124"/>
      <c r="BW125" s="122"/>
      <c r="BX125" s="122"/>
      <c r="BY125" s="124"/>
      <c r="EQ125" s="119"/>
      <c r="ER125" s="119"/>
      <c r="ES125" s="119"/>
      <c r="ET125" s="119"/>
      <c r="EU125" s="119"/>
      <c r="EV125" s="119"/>
      <c r="EW125" s="119"/>
      <c r="EX125" s="119"/>
      <c r="EY125" s="119"/>
      <c r="EZ125" s="119"/>
      <c r="FA125" s="119"/>
      <c r="FB125" s="119"/>
    </row>
    <row r="126" spans="2:158" ht="13.5" customHeight="1" x14ac:dyDescent="0.2">
      <c r="B126" s="117"/>
      <c r="C126" s="117"/>
      <c r="D126" s="117"/>
      <c r="E126" s="117"/>
      <c r="F126" s="117"/>
      <c r="G126" s="117"/>
      <c r="H126" s="117"/>
      <c r="I126" s="117"/>
      <c r="J126" s="117"/>
      <c r="K126" s="117"/>
      <c r="L126" s="117"/>
      <c r="M126" s="117"/>
      <c r="N126" s="117"/>
      <c r="O126" s="117"/>
      <c r="P126" s="117"/>
      <c r="Q126" s="122"/>
      <c r="R126" s="122"/>
      <c r="S126" s="122"/>
      <c r="T126" s="124"/>
      <c r="U126" s="122"/>
      <c r="V126" s="122"/>
      <c r="W126" s="124"/>
      <c r="X126" s="122"/>
      <c r="Y126" s="122"/>
      <c r="Z126" s="124"/>
      <c r="AA126" s="122"/>
      <c r="AB126" s="122"/>
      <c r="AC126" s="124"/>
      <c r="AD126" s="122"/>
      <c r="AE126" s="122"/>
      <c r="AF126" s="124"/>
      <c r="AG126" s="122"/>
      <c r="AH126" s="122"/>
      <c r="AI126" s="124"/>
      <c r="AJ126" s="122"/>
      <c r="AK126" s="122"/>
      <c r="AL126" s="124"/>
      <c r="AM126" s="122"/>
      <c r="AN126" s="122"/>
      <c r="AO126" s="124"/>
      <c r="AP126" s="122"/>
      <c r="AQ126" s="122"/>
      <c r="AR126" s="124"/>
      <c r="AS126" s="122"/>
      <c r="AT126" s="122"/>
      <c r="AU126" s="124"/>
      <c r="AV126" s="122"/>
      <c r="AW126" s="122"/>
      <c r="AX126" s="124"/>
      <c r="AY126" s="122"/>
      <c r="AZ126" s="122"/>
      <c r="BA126" s="124"/>
      <c r="BB126" s="122"/>
      <c r="BC126" s="122"/>
      <c r="BD126" s="124"/>
      <c r="BE126" s="122"/>
      <c r="BF126" s="122"/>
      <c r="BG126" s="124"/>
      <c r="BH126" s="122"/>
      <c r="BI126" s="122"/>
      <c r="BJ126" s="124"/>
      <c r="BK126" s="122"/>
      <c r="BL126" s="122"/>
      <c r="BM126" s="124"/>
      <c r="BN126" s="122"/>
      <c r="BO126" s="122"/>
      <c r="BP126" s="124"/>
      <c r="BQ126" s="122"/>
      <c r="BR126" s="122"/>
      <c r="BS126" s="124"/>
      <c r="BT126" s="122"/>
      <c r="BU126" s="122"/>
      <c r="BV126" s="124"/>
      <c r="BW126" s="122"/>
      <c r="BX126" s="122"/>
      <c r="BY126" s="124"/>
      <c r="EQ126" s="119"/>
      <c r="ER126" s="119"/>
      <c r="ES126" s="119"/>
      <c r="ET126" s="119"/>
      <c r="EU126" s="119"/>
      <c r="EV126" s="119"/>
      <c r="EW126" s="119"/>
      <c r="EX126" s="119"/>
      <c r="EY126" s="119"/>
      <c r="EZ126" s="119"/>
      <c r="FA126" s="119"/>
      <c r="FB126" s="119"/>
    </row>
    <row r="127" spans="2:158" ht="13.5" customHeight="1" x14ac:dyDescent="0.2">
      <c r="B127" s="117"/>
      <c r="C127" s="117"/>
      <c r="D127" s="117"/>
      <c r="E127" s="117"/>
      <c r="F127" s="117"/>
      <c r="G127" s="117"/>
      <c r="H127" s="117"/>
      <c r="I127" s="117"/>
      <c r="J127" s="117"/>
      <c r="K127" s="117"/>
      <c r="L127" s="117"/>
      <c r="M127" s="117"/>
      <c r="N127" s="117"/>
      <c r="O127" s="117"/>
      <c r="P127" s="117"/>
      <c r="Q127" s="122"/>
      <c r="R127" s="122"/>
      <c r="S127" s="122"/>
      <c r="T127" s="124"/>
      <c r="U127" s="122"/>
      <c r="V127" s="122"/>
      <c r="W127" s="124"/>
      <c r="X127" s="122"/>
      <c r="Y127" s="122"/>
      <c r="Z127" s="124"/>
      <c r="AA127" s="122"/>
      <c r="AB127" s="122"/>
      <c r="AC127" s="124"/>
      <c r="AD127" s="122"/>
      <c r="AE127" s="122"/>
      <c r="AF127" s="124"/>
      <c r="AG127" s="122"/>
      <c r="AH127" s="122"/>
      <c r="AI127" s="124"/>
      <c r="AJ127" s="122"/>
      <c r="AK127" s="122"/>
      <c r="AL127" s="124"/>
      <c r="AM127" s="122"/>
      <c r="AN127" s="122"/>
      <c r="AO127" s="124"/>
      <c r="AP127" s="122"/>
      <c r="AQ127" s="122"/>
      <c r="AR127" s="124"/>
      <c r="AS127" s="122"/>
      <c r="AT127" s="122"/>
      <c r="AU127" s="124"/>
      <c r="AV127" s="122"/>
      <c r="AW127" s="122"/>
      <c r="AX127" s="124"/>
      <c r="AY127" s="122"/>
      <c r="AZ127" s="122"/>
      <c r="BA127" s="124"/>
      <c r="BB127" s="122"/>
      <c r="BC127" s="122"/>
      <c r="BD127" s="124"/>
      <c r="BE127" s="122"/>
      <c r="BF127" s="122"/>
      <c r="BG127" s="124"/>
      <c r="BH127" s="122"/>
      <c r="BI127" s="122"/>
      <c r="BJ127" s="124"/>
      <c r="BK127" s="122"/>
      <c r="BL127" s="122"/>
      <c r="BM127" s="124"/>
      <c r="BN127" s="122"/>
      <c r="BO127" s="122"/>
      <c r="BP127" s="124"/>
      <c r="BQ127" s="122"/>
      <c r="BR127" s="122"/>
      <c r="BS127" s="124"/>
      <c r="BT127" s="122"/>
      <c r="BU127" s="122"/>
      <c r="BV127" s="124"/>
      <c r="BW127" s="122"/>
      <c r="BX127" s="122"/>
      <c r="BY127" s="124"/>
      <c r="EQ127" s="119"/>
      <c r="ER127" s="119"/>
      <c r="ES127" s="119"/>
      <c r="ET127" s="119"/>
      <c r="EU127" s="119"/>
      <c r="EV127" s="119"/>
      <c r="EW127" s="119"/>
      <c r="EX127" s="119"/>
      <c r="EY127" s="119"/>
      <c r="EZ127" s="119"/>
      <c r="FA127" s="119"/>
      <c r="FB127" s="119"/>
    </row>
    <row r="128" spans="2:158" ht="13.5" customHeight="1" x14ac:dyDescent="0.2">
      <c r="B128" s="117"/>
      <c r="C128" s="117"/>
      <c r="D128" s="117"/>
      <c r="E128" s="117"/>
      <c r="F128" s="117"/>
      <c r="G128" s="117"/>
      <c r="H128" s="117"/>
      <c r="I128" s="117"/>
      <c r="J128" s="117"/>
      <c r="K128" s="117"/>
      <c r="L128" s="117"/>
      <c r="M128" s="117"/>
      <c r="N128" s="117"/>
      <c r="O128" s="117"/>
      <c r="P128" s="117"/>
      <c r="Q128" s="122"/>
      <c r="R128" s="122"/>
      <c r="S128" s="122"/>
      <c r="T128" s="124"/>
      <c r="U128" s="122"/>
      <c r="V128" s="122"/>
      <c r="W128" s="124"/>
      <c r="X128" s="122"/>
      <c r="Y128" s="122"/>
      <c r="Z128" s="124"/>
      <c r="AA128" s="122"/>
      <c r="AB128" s="122"/>
      <c r="AC128" s="124"/>
      <c r="AD128" s="122"/>
      <c r="AE128" s="122"/>
      <c r="AF128" s="124"/>
      <c r="AG128" s="122"/>
      <c r="AH128" s="122"/>
      <c r="AI128" s="124"/>
      <c r="AJ128" s="122"/>
      <c r="AK128" s="122"/>
      <c r="AL128" s="124"/>
      <c r="AM128" s="122"/>
      <c r="AN128" s="122"/>
      <c r="AO128" s="124"/>
      <c r="AP128" s="122"/>
      <c r="AQ128" s="122"/>
      <c r="AR128" s="124"/>
      <c r="AS128" s="122"/>
      <c r="AT128" s="122"/>
      <c r="AU128" s="124"/>
      <c r="AV128" s="122"/>
      <c r="AW128" s="122"/>
      <c r="AX128" s="124"/>
      <c r="AY128" s="122"/>
      <c r="AZ128" s="122"/>
      <c r="BA128" s="124"/>
      <c r="BB128" s="122"/>
      <c r="BC128" s="122"/>
      <c r="BD128" s="124"/>
      <c r="BE128" s="122"/>
      <c r="BF128" s="122"/>
      <c r="BG128" s="124"/>
      <c r="BH128" s="122"/>
      <c r="BI128" s="122"/>
      <c r="BJ128" s="124"/>
      <c r="BK128" s="122"/>
      <c r="BL128" s="122"/>
      <c r="BM128" s="124"/>
      <c r="BN128" s="122"/>
      <c r="BO128" s="122"/>
      <c r="BP128" s="124"/>
      <c r="BQ128" s="122"/>
      <c r="BR128" s="122"/>
      <c r="BS128" s="124"/>
      <c r="BT128" s="122"/>
      <c r="BU128" s="122"/>
      <c r="BV128" s="124"/>
      <c r="BW128" s="122"/>
      <c r="BX128" s="122"/>
      <c r="BY128" s="124"/>
      <c r="EQ128" s="119"/>
      <c r="ER128" s="119"/>
      <c r="ES128" s="119"/>
      <c r="ET128" s="119"/>
      <c r="EU128" s="119"/>
      <c r="EV128" s="119"/>
      <c r="EW128" s="119"/>
      <c r="EX128" s="119"/>
      <c r="EY128" s="119"/>
      <c r="EZ128" s="119"/>
      <c r="FA128" s="119"/>
      <c r="FB128" s="119"/>
    </row>
    <row r="129" spans="1:161" ht="13.5" customHeight="1" x14ac:dyDescent="0.2">
      <c r="B129" s="117"/>
      <c r="C129" s="117"/>
      <c r="D129" s="117"/>
      <c r="E129" s="117"/>
      <c r="F129" s="117"/>
      <c r="G129" s="117"/>
      <c r="H129" s="117"/>
      <c r="I129" s="117"/>
      <c r="J129" s="117"/>
      <c r="K129" s="117"/>
      <c r="L129" s="117"/>
      <c r="M129" s="117"/>
      <c r="N129" s="117"/>
      <c r="O129" s="117"/>
      <c r="P129" s="117"/>
      <c r="Q129" s="122"/>
      <c r="R129" s="122"/>
      <c r="S129" s="122"/>
      <c r="T129" s="124"/>
      <c r="U129" s="122"/>
      <c r="V129" s="122"/>
      <c r="W129" s="124"/>
      <c r="X129" s="122"/>
      <c r="Y129" s="122"/>
      <c r="Z129" s="124"/>
      <c r="AA129" s="122"/>
      <c r="AB129" s="122"/>
      <c r="AC129" s="124"/>
      <c r="AD129" s="122"/>
      <c r="AE129" s="122"/>
      <c r="AF129" s="124"/>
      <c r="AG129" s="122"/>
      <c r="AH129" s="122"/>
      <c r="AI129" s="124"/>
      <c r="AJ129" s="122"/>
      <c r="AK129" s="122"/>
      <c r="AL129" s="124"/>
      <c r="AM129" s="122"/>
      <c r="AN129" s="122"/>
      <c r="AO129" s="124"/>
      <c r="AP129" s="122"/>
      <c r="AQ129" s="122"/>
      <c r="AR129" s="124"/>
      <c r="AS129" s="122"/>
      <c r="AT129" s="122"/>
      <c r="AU129" s="124"/>
      <c r="AV129" s="122"/>
      <c r="AW129" s="122"/>
      <c r="AX129" s="124"/>
      <c r="AY129" s="122"/>
      <c r="AZ129" s="122"/>
      <c r="BA129" s="124"/>
      <c r="BB129" s="122"/>
      <c r="BC129" s="122"/>
      <c r="BD129" s="124"/>
      <c r="BE129" s="122"/>
      <c r="BF129" s="122"/>
      <c r="BG129" s="124"/>
      <c r="BH129" s="122"/>
      <c r="BI129" s="122"/>
      <c r="BJ129" s="124"/>
      <c r="BK129" s="122"/>
      <c r="BL129" s="122"/>
      <c r="BM129" s="124"/>
      <c r="BN129" s="122"/>
      <c r="BO129" s="122"/>
      <c r="BP129" s="124"/>
      <c r="BQ129" s="122"/>
      <c r="BR129" s="122"/>
      <c r="BS129" s="124"/>
      <c r="BT129" s="122"/>
      <c r="BU129" s="122"/>
      <c r="BV129" s="124"/>
      <c r="BW129" s="122"/>
      <c r="BX129" s="122"/>
      <c r="BY129" s="124"/>
      <c r="EQ129" s="119"/>
      <c r="ER129" s="119"/>
      <c r="ES129" s="119"/>
      <c r="ET129" s="119"/>
      <c r="EU129" s="119"/>
      <c r="EV129" s="119"/>
      <c r="EW129" s="119"/>
      <c r="EX129" s="119"/>
      <c r="EY129" s="119"/>
      <c r="EZ129" s="119"/>
      <c r="FA129" s="119"/>
      <c r="FB129" s="119"/>
    </row>
    <row r="130" spans="1:161" ht="13.5" customHeight="1" x14ac:dyDescent="0.2">
      <c r="B130" s="117"/>
      <c r="C130" s="117"/>
      <c r="D130" s="117"/>
      <c r="E130" s="117"/>
      <c r="F130" s="117"/>
      <c r="G130" s="117"/>
      <c r="H130" s="117"/>
      <c r="I130" s="117"/>
      <c r="J130" s="117"/>
      <c r="K130" s="117"/>
      <c r="L130" s="117"/>
      <c r="M130" s="117"/>
      <c r="N130" s="117"/>
      <c r="O130" s="117"/>
      <c r="P130" s="117"/>
      <c r="Q130" s="122"/>
      <c r="R130" s="122"/>
      <c r="S130" s="122"/>
      <c r="T130" s="124"/>
      <c r="U130" s="122"/>
      <c r="V130" s="122"/>
      <c r="W130" s="124"/>
      <c r="X130" s="122"/>
      <c r="Y130" s="122"/>
      <c r="Z130" s="124"/>
      <c r="AA130" s="122"/>
      <c r="AB130" s="122"/>
      <c r="AC130" s="124"/>
      <c r="AD130" s="122"/>
      <c r="AE130" s="122"/>
      <c r="AF130" s="124"/>
      <c r="AG130" s="122"/>
      <c r="AH130" s="122"/>
      <c r="AI130" s="124"/>
      <c r="AJ130" s="122"/>
      <c r="AK130" s="122"/>
      <c r="AL130" s="124"/>
      <c r="AM130" s="122"/>
      <c r="AN130" s="122"/>
      <c r="AO130" s="124"/>
      <c r="AP130" s="122"/>
      <c r="AQ130" s="122"/>
      <c r="AR130" s="124"/>
      <c r="AS130" s="122"/>
      <c r="AT130" s="122"/>
      <c r="AU130" s="124"/>
      <c r="AV130" s="122"/>
      <c r="AW130" s="122"/>
      <c r="AX130" s="124"/>
      <c r="AY130" s="122"/>
      <c r="AZ130" s="122"/>
      <c r="BA130" s="124"/>
      <c r="BB130" s="122"/>
      <c r="BC130" s="122"/>
      <c r="BD130" s="124"/>
      <c r="BE130" s="122"/>
      <c r="BF130" s="122"/>
      <c r="BG130" s="124"/>
      <c r="BH130" s="122"/>
      <c r="BI130" s="122"/>
      <c r="BJ130" s="124"/>
      <c r="BK130" s="122"/>
      <c r="BL130" s="122"/>
      <c r="BM130" s="124"/>
      <c r="BN130" s="122"/>
      <c r="BO130" s="122"/>
      <c r="BP130" s="124"/>
      <c r="BQ130" s="122"/>
      <c r="BR130" s="122"/>
      <c r="BS130" s="124"/>
      <c r="BT130" s="122"/>
      <c r="BU130" s="122"/>
      <c r="BV130" s="124"/>
      <c r="BW130" s="122"/>
      <c r="BX130" s="122"/>
      <c r="BY130" s="124"/>
      <c r="EQ130" s="119"/>
      <c r="ER130" s="119"/>
      <c r="ES130" s="119"/>
      <c r="ET130" s="119"/>
      <c r="EU130" s="119"/>
      <c r="EV130" s="119"/>
      <c r="EW130" s="119"/>
      <c r="EX130" s="119"/>
      <c r="EY130" s="119"/>
      <c r="EZ130" s="119"/>
      <c r="FA130" s="119"/>
      <c r="FB130" s="119"/>
    </row>
    <row r="131" spans="1:161" ht="13.5" customHeight="1" x14ac:dyDescent="0.2">
      <c r="B131" s="117"/>
      <c r="C131" s="117"/>
      <c r="D131" s="117"/>
      <c r="E131" s="117"/>
      <c r="F131" s="117"/>
      <c r="G131" s="117"/>
      <c r="H131" s="117"/>
      <c r="I131" s="117"/>
      <c r="J131" s="117"/>
      <c r="K131" s="117"/>
      <c r="L131" s="117"/>
      <c r="M131" s="117"/>
      <c r="N131" s="117"/>
      <c r="O131" s="117"/>
      <c r="P131" s="117"/>
      <c r="Q131" s="122"/>
      <c r="R131" s="122"/>
      <c r="S131" s="122"/>
      <c r="T131" s="124"/>
      <c r="U131" s="122"/>
      <c r="V131" s="122"/>
      <c r="W131" s="124"/>
      <c r="X131" s="122"/>
      <c r="Y131" s="122"/>
      <c r="Z131" s="124"/>
      <c r="AA131" s="122"/>
      <c r="AB131" s="122"/>
      <c r="AC131" s="124"/>
      <c r="AD131" s="122"/>
      <c r="AE131" s="122"/>
      <c r="AF131" s="124"/>
      <c r="AG131" s="122"/>
      <c r="AH131" s="122"/>
      <c r="AI131" s="124"/>
      <c r="AJ131" s="122"/>
      <c r="AK131" s="122"/>
      <c r="AL131" s="124"/>
      <c r="AM131" s="122"/>
      <c r="AN131" s="122"/>
      <c r="AO131" s="124"/>
      <c r="AP131" s="122"/>
      <c r="AQ131" s="122"/>
      <c r="AR131" s="124"/>
      <c r="AS131" s="122"/>
      <c r="AT131" s="122"/>
      <c r="AU131" s="124"/>
      <c r="AV131" s="122"/>
      <c r="AW131" s="122"/>
      <c r="AX131" s="124"/>
      <c r="AY131" s="122"/>
      <c r="AZ131" s="122"/>
      <c r="BA131" s="124"/>
      <c r="BB131" s="122"/>
      <c r="BC131" s="122"/>
      <c r="BD131" s="124"/>
      <c r="BE131" s="122"/>
      <c r="BF131" s="122"/>
      <c r="BG131" s="124"/>
      <c r="BH131" s="122"/>
      <c r="BI131" s="122"/>
      <c r="BJ131" s="124"/>
      <c r="BK131" s="122"/>
      <c r="BL131" s="122"/>
      <c r="BM131" s="124"/>
      <c r="BN131" s="122"/>
      <c r="BO131" s="122"/>
      <c r="BP131" s="124"/>
      <c r="BQ131" s="122"/>
      <c r="BR131" s="122"/>
      <c r="BS131" s="124"/>
      <c r="BT131" s="122"/>
      <c r="BU131" s="122"/>
      <c r="BV131" s="124"/>
      <c r="BW131" s="122"/>
      <c r="BX131" s="122"/>
      <c r="BY131" s="124"/>
      <c r="EQ131" s="119"/>
      <c r="ER131" s="119"/>
      <c r="ES131" s="119"/>
      <c r="ET131" s="119"/>
      <c r="EU131" s="119"/>
      <c r="EV131" s="119"/>
      <c r="EW131" s="119"/>
      <c r="EX131" s="119"/>
      <c r="EY131" s="119"/>
      <c r="EZ131" s="119"/>
      <c r="FA131" s="119"/>
      <c r="FB131" s="119"/>
    </row>
    <row r="132" spans="1:161" ht="13.5" customHeight="1" x14ac:dyDescent="0.2">
      <c r="B132" s="117"/>
      <c r="C132" s="117"/>
      <c r="D132" s="117"/>
      <c r="E132" s="117"/>
      <c r="F132" s="117"/>
      <c r="G132" s="117"/>
      <c r="H132" s="117"/>
      <c r="I132" s="117"/>
      <c r="J132" s="117"/>
      <c r="K132" s="117"/>
      <c r="L132" s="117"/>
      <c r="M132" s="117"/>
      <c r="N132" s="117"/>
      <c r="O132" s="117"/>
      <c r="P132" s="117"/>
      <c r="Q132" s="122"/>
      <c r="R132" s="122"/>
      <c r="S132" s="122"/>
      <c r="T132" s="124"/>
      <c r="U132" s="122"/>
      <c r="V132" s="122"/>
      <c r="W132" s="124"/>
      <c r="X132" s="122"/>
      <c r="Y132" s="122"/>
      <c r="Z132" s="124"/>
      <c r="AA132" s="122"/>
      <c r="AB132" s="122"/>
      <c r="AC132" s="124"/>
      <c r="AD132" s="122"/>
      <c r="AE132" s="122"/>
      <c r="AF132" s="124"/>
      <c r="AG132" s="122"/>
      <c r="AH132" s="122"/>
      <c r="AI132" s="124"/>
      <c r="AJ132" s="122"/>
      <c r="AK132" s="122"/>
      <c r="AL132" s="124"/>
      <c r="AM132" s="122"/>
      <c r="AN132" s="122"/>
      <c r="AO132" s="124"/>
      <c r="AP132" s="122"/>
      <c r="AQ132" s="122"/>
      <c r="AR132" s="124"/>
      <c r="AS132" s="122"/>
      <c r="AT132" s="122"/>
      <c r="AU132" s="124"/>
      <c r="AV132" s="122"/>
      <c r="AW132" s="122"/>
      <c r="AX132" s="124"/>
      <c r="AY132" s="122"/>
      <c r="AZ132" s="122"/>
      <c r="BA132" s="124"/>
      <c r="BB132" s="122"/>
      <c r="BC132" s="122"/>
      <c r="BD132" s="124"/>
      <c r="BE132" s="122"/>
      <c r="BF132" s="122"/>
      <c r="BG132" s="124"/>
      <c r="BH132" s="122"/>
      <c r="BI132" s="122"/>
      <c r="BJ132" s="124"/>
      <c r="BK132" s="122"/>
      <c r="BL132" s="122"/>
      <c r="BM132" s="124"/>
      <c r="BN132" s="122"/>
      <c r="BO132" s="122"/>
      <c r="BP132" s="124"/>
      <c r="BQ132" s="122"/>
      <c r="BR132" s="122"/>
      <c r="BS132" s="124"/>
      <c r="BT132" s="122"/>
      <c r="BU132" s="122"/>
      <c r="BV132" s="124"/>
      <c r="BW132" s="122"/>
      <c r="BX132" s="122"/>
      <c r="BY132" s="124"/>
      <c r="EQ132" s="119"/>
      <c r="ER132" s="119"/>
      <c r="ES132" s="119"/>
      <c r="ET132" s="119"/>
      <c r="EU132" s="119"/>
      <c r="EV132" s="119"/>
      <c r="EW132" s="119"/>
      <c r="EX132" s="119"/>
      <c r="EY132" s="119"/>
      <c r="EZ132" s="119"/>
      <c r="FA132" s="119"/>
      <c r="FB132" s="119"/>
    </row>
    <row r="133" spans="1:161" ht="13.5" customHeight="1" x14ac:dyDescent="0.2">
      <c r="B133" s="117"/>
      <c r="C133" s="117"/>
      <c r="D133" s="117"/>
      <c r="E133" s="117"/>
      <c r="F133" s="117"/>
      <c r="G133" s="117"/>
      <c r="H133" s="117"/>
      <c r="I133" s="117"/>
      <c r="J133" s="117"/>
      <c r="K133" s="117"/>
      <c r="L133" s="117"/>
      <c r="M133" s="117"/>
      <c r="N133" s="117"/>
      <c r="O133" s="117"/>
      <c r="P133" s="117"/>
      <c r="Q133" s="122"/>
      <c r="R133" s="122"/>
      <c r="S133" s="122"/>
      <c r="T133" s="124"/>
      <c r="U133" s="122"/>
      <c r="V133" s="122"/>
      <c r="W133" s="124"/>
      <c r="X133" s="122"/>
      <c r="Y133" s="122"/>
      <c r="Z133" s="124"/>
      <c r="AA133" s="122"/>
      <c r="AB133" s="122"/>
      <c r="AC133" s="124"/>
      <c r="AD133" s="122"/>
      <c r="AE133" s="122"/>
      <c r="AF133" s="124"/>
      <c r="AG133" s="122"/>
      <c r="AH133" s="122"/>
      <c r="AI133" s="124"/>
      <c r="AJ133" s="122"/>
      <c r="AK133" s="122"/>
      <c r="AL133" s="124"/>
      <c r="AM133" s="122"/>
      <c r="AN133" s="122"/>
      <c r="AO133" s="124"/>
      <c r="AP133" s="122"/>
      <c r="AQ133" s="122"/>
      <c r="AR133" s="124"/>
      <c r="AS133" s="122"/>
      <c r="AT133" s="122"/>
      <c r="AU133" s="124"/>
      <c r="AV133" s="122"/>
      <c r="AW133" s="122"/>
      <c r="AX133" s="124"/>
      <c r="AY133" s="122"/>
      <c r="AZ133" s="122"/>
      <c r="BA133" s="124"/>
      <c r="BB133" s="122"/>
      <c r="BC133" s="122"/>
      <c r="BD133" s="124"/>
      <c r="BE133" s="122"/>
      <c r="BF133" s="122"/>
      <c r="BG133" s="124"/>
      <c r="BH133" s="122"/>
      <c r="BI133" s="122"/>
      <c r="BJ133" s="124"/>
      <c r="BK133" s="122"/>
      <c r="BL133" s="122"/>
      <c r="BM133" s="124"/>
      <c r="BN133" s="122"/>
      <c r="BO133" s="122"/>
      <c r="BP133" s="124"/>
      <c r="BQ133" s="122"/>
      <c r="BR133" s="122"/>
      <c r="BS133" s="124"/>
      <c r="BT133" s="122"/>
      <c r="BU133" s="122"/>
      <c r="BV133" s="124"/>
      <c r="BW133" s="122"/>
      <c r="BX133" s="122"/>
      <c r="BY133" s="124"/>
      <c r="EQ133" s="119"/>
      <c r="ER133" s="119"/>
      <c r="ES133" s="119"/>
      <c r="ET133" s="119"/>
      <c r="EU133" s="119"/>
      <c r="EV133" s="119"/>
      <c r="EW133" s="119"/>
      <c r="EX133" s="119"/>
      <c r="EY133" s="119"/>
      <c r="EZ133" s="119"/>
      <c r="FA133" s="119"/>
      <c r="FB133" s="119"/>
    </row>
    <row r="134" spans="1:161" ht="13.5" customHeight="1" x14ac:dyDescent="0.2">
      <c r="B134" s="117"/>
      <c r="C134" s="117"/>
      <c r="D134" s="117"/>
      <c r="E134" s="117"/>
      <c r="F134" s="117"/>
      <c r="G134" s="117"/>
      <c r="H134" s="117"/>
      <c r="I134" s="117"/>
      <c r="J134" s="117"/>
      <c r="K134" s="117"/>
      <c r="L134" s="117"/>
      <c r="M134" s="117"/>
      <c r="N134" s="117"/>
      <c r="O134" s="117"/>
      <c r="P134" s="117"/>
      <c r="Q134" s="122"/>
      <c r="R134" s="122"/>
      <c r="S134" s="122"/>
      <c r="T134" s="124"/>
      <c r="U134" s="122"/>
      <c r="V134" s="122"/>
      <c r="W134" s="124"/>
      <c r="X134" s="122"/>
      <c r="Y134" s="122"/>
      <c r="Z134" s="124"/>
      <c r="AA134" s="122"/>
      <c r="AB134" s="122"/>
      <c r="AC134" s="124"/>
      <c r="AD134" s="122"/>
      <c r="AE134" s="122"/>
      <c r="AF134" s="124"/>
      <c r="AG134" s="122"/>
      <c r="AH134" s="122"/>
      <c r="AI134" s="124"/>
      <c r="AJ134" s="122"/>
      <c r="AK134" s="122"/>
      <c r="AL134" s="124"/>
      <c r="AM134" s="122"/>
      <c r="AN134" s="122"/>
      <c r="AO134" s="124"/>
      <c r="AP134" s="122"/>
      <c r="AQ134" s="122"/>
      <c r="AR134" s="124"/>
      <c r="AS134" s="122"/>
      <c r="AT134" s="122"/>
      <c r="AU134" s="124"/>
      <c r="AV134" s="122"/>
      <c r="AW134" s="122"/>
      <c r="AX134" s="124"/>
      <c r="AY134" s="122"/>
      <c r="AZ134" s="122"/>
      <c r="BA134" s="124"/>
      <c r="BB134" s="122"/>
      <c r="BC134" s="122"/>
      <c r="BD134" s="124"/>
      <c r="BE134" s="122"/>
      <c r="BF134" s="122"/>
      <c r="BG134" s="124"/>
      <c r="BH134" s="122"/>
      <c r="BI134" s="122"/>
      <c r="BJ134" s="124"/>
      <c r="BK134" s="122"/>
      <c r="BL134" s="122"/>
      <c r="BM134" s="124"/>
      <c r="BN134" s="122"/>
      <c r="BO134" s="122"/>
      <c r="BP134" s="124"/>
      <c r="BQ134" s="122"/>
      <c r="BR134" s="122"/>
      <c r="BS134" s="124"/>
      <c r="BT134" s="122"/>
      <c r="BU134" s="122"/>
      <c r="BV134" s="124"/>
      <c r="BW134" s="122"/>
      <c r="BX134" s="122"/>
      <c r="BY134" s="124"/>
      <c r="EQ134" s="119"/>
      <c r="ER134" s="119"/>
      <c r="ES134" s="119"/>
      <c r="ET134" s="119"/>
      <c r="EU134" s="119"/>
      <c r="EV134" s="119"/>
      <c r="EW134" s="119"/>
      <c r="EX134" s="119"/>
      <c r="EY134" s="119"/>
      <c r="EZ134" s="119"/>
      <c r="FA134" s="119"/>
      <c r="FB134" s="119"/>
    </row>
    <row r="135" spans="1:161" ht="13.5" customHeight="1" x14ac:dyDescent="0.2">
      <c r="B135" s="117"/>
      <c r="C135" s="117"/>
      <c r="D135" s="117"/>
      <c r="E135" s="117"/>
      <c r="F135" s="117"/>
      <c r="G135" s="117"/>
      <c r="H135" s="117"/>
      <c r="I135" s="117"/>
      <c r="J135" s="117"/>
      <c r="K135" s="117"/>
      <c r="L135" s="117"/>
      <c r="M135" s="117"/>
      <c r="N135" s="117"/>
      <c r="O135" s="117"/>
      <c r="P135" s="117"/>
      <c r="Q135" s="122"/>
      <c r="R135" s="122"/>
      <c r="S135" s="122"/>
      <c r="T135" s="124"/>
      <c r="U135" s="122"/>
      <c r="V135" s="122"/>
      <c r="W135" s="124"/>
      <c r="X135" s="122"/>
      <c r="Y135" s="122"/>
      <c r="Z135" s="124"/>
      <c r="AA135" s="122"/>
      <c r="AB135" s="122"/>
      <c r="AC135" s="124"/>
      <c r="AD135" s="122"/>
      <c r="AE135" s="122"/>
      <c r="AF135" s="124"/>
      <c r="AG135" s="122"/>
      <c r="AH135" s="122"/>
      <c r="AI135" s="124"/>
      <c r="AJ135" s="122"/>
      <c r="AK135" s="122"/>
      <c r="AL135" s="124"/>
      <c r="AM135" s="122"/>
      <c r="AN135" s="122"/>
      <c r="AO135" s="124"/>
      <c r="AP135" s="122"/>
      <c r="AQ135" s="122"/>
      <c r="AR135" s="124"/>
      <c r="AS135" s="122"/>
      <c r="AT135" s="122"/>
      <c r="AU135" s="124"/>
      <c r="AV135" s="122"/>
      <c r="AW135" s="122"/>
      <c r="AX135" s="124"/>
      <c r="AY135" s="122"/>
      <c r="AZ135" s="122"/>
      <c r="BA135" s="124"/>
      <c r="BB135" s="122"/>
      <c r="BC135" s="122"/>
      <c r="BD135" s="124"/>
      <c r="BE135" s="122"/>
      <c r="BF135" s="122"/>
      <c r="BG135" s="124"/>
      <c r="BH135" s="122"/>
      <c r="BI135" s="122"/>
      <c r="BJ135" s="124"/>
      <c r="BK135" s="122"/>
      <c r="BL135" s="122"/>
      <c r="BM135" s="124"/>
      <c r="BN135" s="122"/>
      <c r="BO135" s="122"/>
      <c r="BP135" s="124"/>
      <c r="BQ135" s="122"/>
      <c r="BR135" s="122"/>
      <c r="BS135" s="124"/>
      <c r="BT135" s="122"/>
      <c r="BU135" s="122"/>
      <c r="BV135" s="124"/>
      <c r="BW135" s="122"/>
      <c r="BX135" s="122"/>
      <c r="BY135" s="124"/>
      <c r="EQ135" s="119"/>
      <c r="ER135" s="119"/>
      <c r="ES135" s="119"/>
      <c r="ET135" s="119"/>
      <c r="EU135" s="119"/>
      <c r="EV135" s="119"/>
      <c r="EW135" s="119"/>
      <c r="EX135" s="119"/>
      <c r="EY135" s="119"/>
      <c r="EZ135" s="119"/>
      <c r="FA135" s="119"/>
      <c r="FB135" s="119"/>
    </row>
    <row r="136" spans="1:161" ht="13.5" customHeight="1" x14ac:dyDescent="0.2">
      <c r="B136" s="117"/>
      <c r="C136" s="117"/>
      <c r="D136" s="117"/>
      <c r="E136" s="117"/>
      <c r="F136" s="117"/>
      <c r="G136" s="117"/>
      <c r="H136" s="117"/>
      <c r="I136" s="117"/>
      <c r="J136" s="117"/>
      <c r="K136" s="117"/>
      <c r="L136" s="117"/>
      <c r="M136" s="117"/>
      <c r="N136" s="117"/>
      <c r="O136" s="117"/>
      <c r="P136" s="117"/>
      <c r="Q136" s="122"/>
      <c r="R136" s="122"/>
      <c r="S136" s="122"/>
      <c r="T136" s="124"/>
      <c r="U136" s="122"/>
      <c r="V136" s="122"/>
      <c r="W136" s="124"/>
      <c r="X136" s="122"/>
      <c r="Y136" s="122"/>
      <c r="Z136" s="124"/>
      <c r="AA136" s="122"/>
      <c r="AB136" s="122"/>
      <c r="AC136" s="124"/>
      <c r="AD136" s="122"/>
      <c r="AE136" s="122"/>
      <c r="AF136" s="124"/>
      <c r="AG136" s="122"/>
      <c r="AH136" s="122"/>
      <c r="AI136" s="124"/>
      <c r="AJ136" s="122"/>
      <c r="AK136" s="122"/>
      <c r="AL136" s="124"/>
      <c r="AM136" s="122"/>
      <c r="AN136" s="122"/>
      <c r="AO136" s="124"/>
      <c r="AP136" s="122"/>
      <c r="AQ136" s="122"/>
      <c r="AR136" s="124"/>
      <c r="AS136" s="122"/>
      <c r="AT136" s="122"/>
      <c r="AU136" s="124"/>
      <c r="AV136" s="122"/>
      <c r="AW136" s="122"/>
      <c r="AX136" s="124"/>
      <c r="AY136" s="122"/>
      <c r="AZ136" s="122"/>
      <c r="BA136" s="124"/>
      <c r="BB136" s="122"/>
      <c r="BC136" s="122"/>
      <c r="BD136" s="124"/>
      <c r="BE136" s="122"/>
      <c r="BF136" s="122"/>
      <c r="BG136" s="124"/>
      <c r="BH136" s="122"/>
      <c r="BI136" s="122"/>
      <c r="BJ136" s="124"/>
      <c r="BK136" s="122"/>
      <c r="BL136" s="122"/>
      <c r="BM136" s="124"/>
      <c r="BN136" s="122"/>
      <c r="BO136" s="122"/>
      <c r="BP136" s="124"/>
      <c r="BQ136" s="122"/>
      <c r="BR136" s="122"/>
      <c r="BS136" s="124"/>
      <c r="BT136" s="122"/>
      <c r="BU136" s="122"/>
      <c r="BV136" s="124"/>
      <c r="BW136" s="122"/>
      <c r="BX136" s="122"/>
      <c r="BY136" s="124"/>
      <c r="EQ136" s="119"/>
      <c r="ER136" s="119"/>
      <c r="ES136" s="119"/>
      <c r="ET136" s="119"/>
      <c r="EU136" s="119"/>
      <c r="EV136" s="119"/>
      <c r="EW136" s="119"/>
      <c r="EX136" s="119"/>
      <c r="EY136" s="119"/>
      <c r="EZ136" s="119"/>
      <c r="FA136" s="119"/>
      <c r="FB136" s="119"/>
    </row>
    <row r="137" spans="1:161" ht="13.5" customHeight="1" x14ac:dyDescent="0.2">
      <c r="B137" s="117"/>
      <c r="C137" s="117"/>
      <c r="D137" s="117"/>
      <c r="E137" s="117"/>
      <c r="F137" s="117"/>
      <c r="G137" s="117"/>
      <c r="H137" s="117"/>
      <c r="I137" s="117"/>
      <c r="J137" s="117"/>
      <c r="K137" s="117"/>
      <c r="L137" s="117"/>
      <c r="M137" s="117"/>
      <c r="N137" s="117"/>
      <c r="O137" s="117"/>
      <c r="P137" s="117"/>
      <c r="Q137" s="122"/>
      <c r="R137" s="122"/>
      <c r="S137" s="122"/>
      <c r="T137" s="124"/>
      <c r="U137" s="122"/>
      <c r="V137" s="122"/>
      <c r="W137" s="124"/>
      <c r="X137" s="122"/>
      <c r="Y137" s="122"/>
      <c r="Z137" s="124"/>
      <c r="AA137" s="122"/>
      <c r="AB137" s="122"/>
      <c r="AC137" s="124"/>
      <c r="AD137" s="122"/>
      <c r="AE137" s="122"/>
      <c r="AF137" s="124"/>
      <c r="AG137" s="122"/>
      <c r="AH137" s="122"/>
      <c r="AI137" s="124"/>
      <c r="AJ137" s="122"/>
      <c r="AK137" s="122"/>
      <c r="AL137" s="124"/>
      <c r="AM137" s="122"/>
      <c r="AN137" s="122"/>
      <c r="AO137" s="124"/>
      <c r="AP137" s="122"/>
      <c r="AQ137" s="122"/>
      <c r="AR137" s="124"/>
      <c r="AS137" s="122"/>
      <c r="AT137" s="122"/>
      <c r="AU137" s="124"/>
      <c r="AV137" s="122"/>
      <c r="AW137" s="122"/>
      <c r="AX137" s="124"/>
      <c r="AY137" s="122"/>
      <c r="AZ137" s="122"/>
      <c r="BA137" s="124"/>
      <c r="BB137" s="122"/>
      <c r="BC137" s="122"/>
      <c r="BD137" s="124"/>
      <c r="BE137" s="122"/>
      <c r="BF137" s="122"/>
      <c r="BG137" s="124"/>
      <c r="BH137" s="122"/>
      <c r="BI137" s="122"/>
      <c r="BJ137" s="124"/>
      <c r="BK137" s="122"/>
      <c r="BL137" s="122"/>
      <c r="BM137" s="124"/>
      <c r="BN137" s="122"/>
      <c r="BO137" s="122"/>
      <c r="BP137" s="124"/>
      <c r="BQ137" s="122"/>
      <c r="BR137" s="122"/>
      <c r="BS137" s="124"/>
      <c r="BT137" s="122"/>
      <c r="BU137" s="122"/>
      <c r="BV137" s="124"/>
      <c r="BW137" s="122"/>
      <c r="BX137" s="122"/>
      <c r="BY137" s="124"/>
      <c r="EQ137" s="119"/>
      <c r="ER137" s="119"/>
      <c r="ES137" s="119"/>
      <c r="ET137" s="119"/>
      <c r="EU137" s="119"/>
      <c r="EV137" s="119"/>
      <c r="EW137" s="119"/>
      <c r="EX137" s="119"/>
      <c r="EY137" s="119"/>
      <c r="EZ137" s="119"/>
      <c r="FA137" s="119"/>
      <c r="FB137" s="119"/>
    </row>
    <row r="138" spans="1:161" ht="13.5" customHeight="1" x14ac:dyDescent="0.2">
      <c r="B138" s="117"/>
      <c r="C138" s="117"/>
      <c r="D138" s="117"/>
      <c r="E138" s="117"/>
      <c r="F138" s="117"/>
      <c r="G138" s="117"/>
      <c r="H138" s="117"/>
      <c r="I138" s="117"/>
      <c r="J138" s="117"/>
      <c r="K138" s="117"/>
      <c r="L138" s="117"/>
      <c r="M138" s="117"/>
      <c r="N138" s="117"/>
      <c r="O138" s="117"/>
      <c r="P138" s="117"/>
      <c r="Q138" s="122"/>
      <c r="R138" s="122"/>
      <c r="S138" s="122"/>
      <c r="T138" s="124"/>
      <c r="U138" s="122"/>
      <c r="V138" s="122"/>
      <c r="W138" s="124"/>
      <c r="X138" s="122"/>
      <c r="Y138" s="122"/>
      <c r="Z138" s="124"/>
      <c r="AA138" s="122"/>
      <c r="AB138" s="122"/>
      <c r="AC138" s="124"/>
      <c r="AD138" s="122"/>
      <c r="AE138" s="122"/>
      <c r="AF138" s="124"/>
      <c r="AG138" s="122"/>
      <c r="AH138" s="122"/>
      <c r="AI138" s="124"/>
      <c r="AJ138" s="122"/>
      <c r="AK138" s="122"/>
      <c r="AL138" s="124"/>
      <c r="AM138" s="122"/>
      <c r="AN138" s="122"/>
      <c r="AO138" s="124"/>
      <c r="AP138" s="122"/>
      <c r="AQ138" s="122"/>
      <c r="AR138" s="124"/>
      <c r="AS138" s="122"/>
      <c r="AT138" s="122"/>
      <c r="AU138" s="124"/>
      <c r="AV138" s="122"/>
      <c r="AW138" s="122"/>
      <c r="AX138" s="124"/>
      <c r="AY138" s="122"/>
      <c r="AZ138" s="122"/>
      <c r="BA138" s="124"/>
      <c r="BB138" s="122"/>
      <c r="BC138" s="122"/>
      <c r="BD138" s="124"/>
      <c r="BE138" s="122"/>
      <c r="BF138" s="122"/>
      <c r="BG138" s="124"/>
      <c r="BH138" s="122"/>
      <c r="BI138" s="122"/>
      <c r="BJ138" s="124"/>
      <c r="BK138" s="122"/>
      <c r="BL138" s="122"/>
      <c r="BM138" s="124"/>
      <c r="BN138" s="122"/>
      <c r="BO138" s="122"/>
      <c r="BP138" s="124"/>
      <c r="BQ138" s="122"/>
      <c r="BR138" s="122"/>
      <c r="BS138" s="124"/>
      <c r="BT138" s="122"/>
      <c r="BU138" s="122"/>
      <c r="BV138" s="124"/>
      <c r="BW138" s="122"/>
      <c r="BX138" s="122"/>
      <c r="BY138" s="124"/>
      <c r="EQ138" s="119"/>
      <c r="ER138" s="119"/>
      <c r="ES138" s="119"/>
      <c r="ET138" s="119"/>
      <c r="EU138" s="119"/>
      <c r="EV138" s="119"/>
      <c r="EW138" s="119"/>
      <c r="EX138" s="119"/>
      <c r="EY138" s="119"/>
      <c r="EZ138" s="119"/>
      <c r="FA138" s="119"/>
      <c r="FB138" s="119"/>
    </row>
    <row r="139" spans="1:161" ht="13.5" customHeight="1" x14ac:dyDescent="0.2">
      <c r="B139" s="117"/>
      <c r="C139" s="117"/>
      <c r="D139" s="117"/>
      <c r="E139" s="117"/>
      <c r="F139" s="117"/>
      <c r="G139" s="117"/>
      <c r="H139" s="117"/>
      <c r="I139" s="117"/>
      <c r="J139" s="117"/>
      <c r="K139" s="117"/>
      <c r="L139" s="117"/>
      <c r="M139" s="117"/>
      <c r="N139" s="117"/>
      <c r="O139" s="117"/>
      <c r="P139" s="117"/>
      <c r="Q139" s="122"/>
      <c r="R139" s="122"/>
      <c r="S139" s="122"/>
      <c r="T139" s="124"/>
      <c r="U139" s="122"/>
      <c r="V139" s="122"/>
      <c r="W139" s="124"/>
      <c r="X139" s="122"/>
      <c r="Y139" s="122"/>
      <c r="Z139" s="124"/>
      <c r="AA139" s="122"/>
      <c r="AB139" s="122"/>
      <c r="AC139" s="124"/>
      <c r="AD139" s="122"/>
      <c r="AE139" s="122"/>
      <c r="AF139" s="124"/>
      <c r="AG139" s="122"/>
      <c r="AH139" s="122"/>
      <c r="AI139" s="124"/>
      <c r="AJ139" s="122"/>
      <c r="AK139" s="122"/>
      <c r="AL139" s="124"/>
      <c r="AM139" s="122"/>
      <c r="AN139" s="122"/>
      <c r="AO139" s="124"/>
      <c r="AP139" s="122"/>
      <c r="AQ139" s="122"/>
      <c r="AR139" s="124"/>
      <c r="AS139" s="122"/>
      <c r="AT139" s="122"/>
      <c r="AU139" s="124"/>
      <c r="AV139" s="122"/>
      <c r="AW139" s="122"/>
      <c r="AX139" s="124"/>
      <c r="AY139" s="122"/>
      <c r="AZ139" s="122"/>
      <c r="BA139" s="124"/>
      <c r="BB139" s="122"/>
      <c r="BC139" s="122"/>
      <c r="BD139" s="124"/>
      <c r="BE139" s="122"/>
      <c r="BF139" s="122"/>
      <c r="BG139" s="124"/>
      <c r="BH139" s="122"/>
      <c r="BI139" s="122"/>
      <c r="BJ139" s="124"/>
      <c r="BK139" s="122"/>
      <c r="BL139" s="122"/>
      <c r="BM139" s="124"/>
      <c r="BN139" s="122"/>
      <c r="BO139" s="122"/>
      <c r="BP139" s="124"/>
      <c r="BQ139" s="122"/>
      <c r="BR139" s="122"/>
      <c r="BS139" s="124"/>
      <c r="BT139" s="122"/>
      <c r="BU139" s="122"/>
      <c r="BV139" s="124"/>
      <c r="BW139" s="122"/>
      <c r="BX139" s="122"/>
      <c r="BY139" s="124"/>
      <c r="EQ139" s="119"/>
      <c r="ER139" s="119"/>
      <c r="ES139" s="119"/>
      <c r="ET139" s="119"/>
      <c r="EU139" s="119"/>
      <c r="EV139" s="119"/>
      <c r="EW139" s="119"/>
      <c r="EX139" s="119"/>
      <c r="EY139" s="119"/>
      <c r="EZ139" s="119"/>
      <c r="FA139" s="119"/>
      <c r="FB139" s="119"/>
    </row>
    <row r="140" spans="1:161" ht="13.5" customHeight="1" x14ac:dyDescent="0.2">
      <c r="B140" s="117"/>
      <c r="C140" s="117"/>
      <c r="D140" s="117"/>
      <c r="E140" s="117"/>
      <c r="F140" s="117"/>
      <c r="G140" s="117"/>
      <c r="H140" s="117"/>
      <c r="I140" s="117"/>
      <c r="J140" s="117"/>
      <c r="K140" s="117"/>
      <c r="L140" s="117"/>
      <c r="M140" s="117"/>
      <c r="N140" s="117"/>
      <c r="O140" s="117"/>
      <c r="P140" s="117"/>
      <c r="Q140" s="122"/>
      <c r="R140" s="122"/>
      <c r="S140" s="122"/>
      <c r="T140" s="124"/>
      <c r="U140" s="122"/>
      <c r="V140" s="122"/>
      <c r="W140" s="124"/>
      <c r="X140" s="122"/>
      <c r="Y140" s="122"/>
      <c r="Z140" s="124"/>
      <c r="AA140" s="122"/>
      <c r="AB140" s="122"/>
      <c r="AC140" s="124"/>
      <c r="AD140" s="122"/>
      <c r="AE140" s="122"/>
      <c r="AF140" s="124"/>
      <c r="AG140" s="122"/>
      <c r="AH140" s="122"/>
      <c r="AI140" s="124"/>
      <c r="AJ140" s="122"/>
      <c r="AK140" s="122"/>
      <c r="AL140" s="124"/>
      <c r="AM140" s="122"/>
      <c r="AN140" s="122"/>
      <c r="AO140" s="124"/>
      <c r="AP140" s="122"/>
      <c r="AQ140" s="122"/>
      <c r="AR140" s="124"/>
      <c r="AS140" s="122"/>
      <c r="AT140" s="122"/>
      <c r="AU140" s="124"/>
      <c r="AV140" s="122"/>
      <c r="AW140" s="122"/>
      <c r="AX140" s="124"/>
      <c r="AY140" s="122"/>
      <c r="AZ140" s="122"/>
      <c r="BA140" s="124"/>
      <c r="BB140" s="122"/>
      <c r="BC140" s="122"/>
      <c r="BD140" s="124"/>
      <c r="BE140" s="122"/>
      <c r="BF140" s="122"/>
      <c r="BG140" s="124"/>
      <c r="BH140" s="122"/>
      <c r="BI140" s="122"/>
      <c r="BJ140" s="124"/>
      <c r="BK140" s="122"/>
      <c r="BL140" s="122"/>
      <c r="BM140" s="124"/>
      <c r="BN140" s="122"/>
      <c r="BO140" s="122"/>
      <c r="BP140" s="124"/>
      <c r="BQ140" s="122"/>
      <c r="BR140" s="122"/>
      <c r="BS140" s="124"/>
      <c r="BT140" s="122"/>
      <c r="BU140" s="122"/>
      <c r="BV140" s="124"/>
      <c r="BW140" s="122"/>
      <c r="BX140" s="122"/>
      <c r="BY140" s="124"/>
      <c r="EQ140" s="119"/>
      <c r="ER140" s="119"/>
      <c r="ES140" s="119"/>
      <c r="ET140" s="119"/>
      <c r="EU140" s="119"/>
      <c r="EV140" s="119"/>
      <c r="EW140" s="119"/>
      <c r="EX140" s="119"/>
      <c r="EY140" s="119"/>
      <c r="EZ140" s="119"/>
      <c r="FA140" s="119"/>
      <c r="FB140" s="119"/>
    </row>
    <row r="141" spans="1:161" ht="13.5" customHeight="1" x14ac:dyDescent="0.2">
      <c r="A141" s="120"/>
      <c r="B141" s="287"/>
      <c r="C141" s="287"/>
      <c r="D141" s="287"/>
      <c r="E141" s="287"/>
      <c r="F141" s="287"/>
      <c r="G141" s="124"/>
      <c r="H141" s="124"/>
      <c r="I141" s="124"/>
      <c r="J141" s="124"/>
      <c r="K141" s="124"/>
      <c r="L141" s="121"/>
      <c r="T141" s="119"/>
      <c r="W141" s="119"/>
      <c r="Z141" s="119"/>
      <c r="AC141" s="119"/>
      <c r="AF141" s="119"/>
      <c r="AI141" s="119"/>
      <c r="AL141" s="119"/>
      <c r="AO141" s="119"/>
      <c r="AR141" s="119"/>
      <c r="AU141" s="119"/>
      <c r="AX141" s="119"/>
      <c r="BA141" s="119"/>
      <c r="BD141" s="119"/>
      <c r="BG141" s="119"/>
      <c r="BJ141" s="119"/>
      <c r="BM141" s="119"/>
      <c r="BP141" s="119"/>
      <c r="BS141" s="119"/>
      <c r="BV141" s="119"/>
      <c r="BY141" s="119"/>
      <c r="CL141" s="239"/>
      <c r="CM141" s="239"/>
      <c r="CN141" s="239"/>
      <c r="CP141" s="239"/>
      <c r="CZ141" s="239"/>
      <c r="DA141" s="239"/>
      <c r="DB141" s="239"/>
      <c r="DC141" s="239"/>
      <c r="DE141" s="239"/>
      <c r="EQ141" s="119"/>
      <c r="ER141" s="119"/>
      <c r="ES141" s="119"/>
      <c r="ET141" s="119"/>
      <c r="EU141" s="119"/>
      <c r="EV141" s="119"/>
      <c r="EW141" s="119"/>
      <c r="EX141" s="119"/>
      <c r="EY141" s="119"/>
      <c r="EZ141" s="119"/>
      <c r="FA141" s="119"/>
    </row>
    <row r="142" spans="1:161" ht="13.5" customHeight="1" x14ac:dyDescent="0.2">
      <c r="A142" s="120"/>
      <c r="B142" s="120"/>
      <c r="C142" s="120"/>
      <c r="D142" s="120"/>
      <c r="E142" s="120"/>
      <c r="F142" s="120"/>
      <c r="T142" s="119"/>
      <c r="W142" s="119"/>
      <c r="Z142" s="119"/>
      <c r="AC142" s="119"/>
      <c r="AF142" s="119"/>
      <c r="AI142" s="119"/>
      <c r="AL142" s="119"/>
      <c r="AO142" s="119"/>
      <c r="AR142" s="119"/>
      <c r="AU142" s="119"/>
      <c r="AX142" s="119"/>
      <c r="BA142" s="119"/>
      <c r="BD142" s="119"/>
      <c r="BG142" s="119"/>
      <c r="BJ142" s="119"/>
      <c r="BM142" s="119"/>
      <c r="BP142" s="119"/>
      <c r="BS142" s="119"/>
      <c r="BV142" s="119"/>
      <c r="BY142" s="119"/>
      <c r="CY142" s="119" t="s">
        <v>19</v>
      </c>
      <c r="EQ142" s="119"/>
      <c r="ER142" s="119"/>
      <c r="ES142" s="119"/>
      <c r="ET142" s="119"/>
      <c r="EU142" s="119"/>
      <c r="EV142" s="119"/>
      <c r="EW142" s="119"/>
      <c r="EX142" s="119"/>
      <c r="EY142" s="119"/>
      <c r="EZ142" s="119"/>
      <c r="FA142" s="119"/>
    </row>
    <row r="143" spans="1:161" ht="13.5" customHeight="1" x14ac:dyDescent="0.2">
      <c r="A143" s="120"/>
      <c r="B143" s="120"/>
      <c r="C143" s="120"/>
      <c r="D143" s="120"/>
      <c r="E143" s="120"/>
      <c r="F143" s="120"/>
      <c r="T143" s="119"/>
      <c r="W143" s="119"/>
      <c r="Z143" s="119"/>
      <c r="AC143" s="119"/>
      <c r="AF143" s="119"/>
      <c r="AI143" s="119"/>
      <c r="AL143" s="119"/>
      <c r="AO143" s="119"/>
      <c r="AR143" s="119"/>
      <c r="AU143" s="119"/>
      <c r="AX143" s="119"/>
      <c r="BA143" s="119"/>
      <c r="BD143" s="119"/>
      <c r="BG143" s="119"/>
      <c r="BJ143" s="119"/>
      <c r="BM143" s="119"/>
      <c r="BP143" s="119"/>
      <c r="BS143" s="119"/>
      <c r="BV143" s="119"/>
      <c r="BY143" s="119"/>
      <c r="EQ143" s="119"/>
      <c r="ER143" s="119"/>
      <c r="ES143" s="119"/>
      <c r="ET143" s="119"/>
      <c r="EU143" s="119"/>
      <c r="EV143" s="119"/>
      <c r="EW143" s="119"/>
      <c r="EX143" s="119"/>
      <c r="EY143" s="119"/>
      <c r="EZ143" s="119"/>
      <c r="FA143" s="119"/>
      <c r="FB143" s="119"/>
      <c r="FC143" s="119"/>
      <c r="FD143" s="119"/>
      <c r="FE143" s="119"/>
    </row>
    <row r="144" spans="1:161" ht="13.5" customHeight="1" x14ac:dyDescent="0.2">
      <c r="A144" s="120"/>
      <c r="B144" s="120"/>
      <c r="C144" s="120"/>
      <c r="D144" s="120"/>
      <c r="E144" s="120"/>
      <c r="F144" s="120"/>
      <c r="T144" s="119"/>
      <c r="W144" s="119"/>
      <c r="Z144" s="119"/>
      <c r="AC144" s="119"/>
      <c r="AF144" s="119"/>
      <c r="AI144" s="119"/>
      <c r="AL144" s="119"/>
      <c r="AO144" s="119"/>
      <c r="AR144" s="119"/>
      <c r="AU144" s="119"/>
      <c r="AX144" s="119"/>
      <c r="BA144" s="119"/>
      <c r="BD144" s="119"/>
      <c r="BG144" s="119"/>
      <c r="BJ144" s="119"/>
      <c r="BM144" s="119"/>
      <c r="BP144" s="119"/>
      <c r="BS144" s="119"/>
      <c r="BV144" s="119"/>
      <c r="BY144" s="119"/>
      <c r="EQ144" s="119"/>
      <c r="ER144" s="119"/>
      <c r="ES144" s="119"/>
      <c r="ET144" s="119"/>
      <c r="EU144" s="119"/>
      <c r="EV144" s="119"/>
      <c r="EW144" s="119"/>
      <c r="EX144" s="119"/>
      <c r="EY144" s="119"/>
      <c r="EZ144" s="119"/>
      <c r="FA144" s="119"/>
      <c r="FB144" s="119"/>
      <c r="FC144" s="119"/>
      <c r="FD144" s="119"/>
      <c r="FE144" s="119"/>
    </row>
    <row r="145" spans="1:161" ht="13.5" customHeight="1" x14ac:dyDescent="0.2">
      <c r="A145" s="120"/>
      <c r="B145" s="258"/>
      <c r="C145" s="258"/>
      <c r="D145" s="258"/>
      <c r="E145" s="258"/>
      <c r="F145" s="258"/>
      <c r="G145" s="269"/>
      <c r="H145" s="269"/>
      <c r="I145" s="269"/>
      <c r="J145" s="269"/>
      <c r="K145" s="269"/>
      <c r="L145" s="269"/>
      <c r="M145" s="269"/>
      <c r="N145" s="269"/>
      <c r="O145" s="269"/>
      <c r="P145" s="269"/>
      <c r="Q145" s="269"/>
      <c r="R145" s="269"/>
      <c r="S145" s="269"/>
      <c r="T145" s="269"/>
      <c r="U145" s="269"/>
      <c r="V145" s="269"/>
      <c r="W145" s="269"/>
      <c r="X145" s="269"/>
      <c r="Y145" s="269"/>
      <c r="Z145" s="269"/>
      <c r="AA145" s="269"/>
      <c r="AB145" s="269"/>
      <c r="AC145" s="269"/>
      <c r="AD145" s="269"/>
      <c r="AE145" s="269"/>
      <c r="AF145" s="269"/>
      <c r="AG145" s="269"/>
      <c r="AH145" s="269"/>
      <c r="AI145" s="269"/>
      <c r="AJ145" s="269"/>
      <c r="AK145" s="269"/>
      <c r="AL145" s="269"/>
      <c r="AM145" s="269"/>
      <c r="AN145" s="269"/>
      <c r="AO145" s="269"/>
      <c r="AP145" s="269"/>
      <c r="AQ145" s="269"/>
      <c r="AR145" s="269"/>
      <c r="AS145" s="269"/>
      <c r="AT145" s="269"/>
      <c r="AU145" s="269"/>
      <c r="AV145" s="269"/>
      <c r="AW145" s="269"/>
      <c r="AX145" s="269"/>
      <c r="AY145" s="269"/>
      <c r="AZ145" s="269"/>
      <c r="BA145" s="269"/>
      <c r="BB145" s="269"/>
      <c r="BC145" s="269"/>
      <c r="BD145" s="269"/>
      <c r="BE145" s="269"/>
      <c r="BF145" s="269"/>
      <c r="BG145" s="269"/>
      <c r="BH145" s="269"/>
      <c r="BI145" s="269"/>
      <c r="BJ145" s="269"/>
      <c r="BK145" s="269"/>
      <c r="BL145" s="269"/>
      <c r="BM145" s="269"/>
      <c r="BN145" s="269"/>
      <c r="BO145" s="269"/>
      <c r="BP145" s="269"/>
      <c r="BQ145" s="269"/>
      <c r="BR145" s="269"/>
      <c r="BS145" s="269"/>
      <c r="BT145" s="269"/>
      <c r="BU145" s="269"/>
      <c r="BV145" s="269"/>
      <c r="BW145" s="269"/>
      <c r="BX145" s="269"/>
      <c r="BY145" s="269"/>
      <c r="BZ145" s="269"/>
      <c r="CA145" s="269"/>
      <c r="CB145" s="269"/>
      <c r="CC145" s="269"/>
      <c r="CD145" s="269"/>
      <c r="CE145" s="269"/>
      <c r="CF145" s="269"/>
      <c r="CG145" s="269"/>
      <c r="CH145" s="269"/>
      <c r="CI145" s="269"/>
      <c r="CJ145" s="269"/>
      <c r="CK145" s="269"/>
      <c r="CL145" s="269"/>
      <c r="CM145" s="269"/>
      <c r="CN145" s="269"/>
      <c r="CO145" s="269"/>
      <c r="CP145" s="269"/>
      <c r="CQ145" s="269"/>
      <c r="CR145" s="269"/>
      <c r="CS145" s="269"/>
      <c r="CT145" s="269"/>
      <c r="CU145" s="269"/>
      <c r="CV145" s="269"/>
      <c r="CW145" s="269"/>
      <c r="CX145" s="269"/>
      <c r="CY145" s="269"/>
      <c r="CZ145" s="269"/>
      <c r="DA145" s="269"/>
      <c r="DB145" s="269"/>
      <c r="DC145" s="269"/>
      <c r="DD145" s="269"/>
      <c r="DE145" s="269"/>
      <c r="DF145" s="269"/>
      <c r="DG145" s="269"/>
      <c r="DH145" s="269"/>
      <c r="DI145" s="269"/>
      <c r="DJ145" s="269"/>
      <c r="DK145" s="269"/>
      <c r="DL145" s="269"/>
      <c r="DM145" s="269"/>
      <c r="DN145" s="269"/>
      <c r="DO145" s="269"/>
      <c r="EQ145" s="119"/>
      <c r="ER145" s="119"/>
      <c r="ES145" s="119"/>
      <c r="ET145" s="119"/>
      <c r="EU145" s="119"/>
      <c r="EV145" s="119"/>
      <c r="EW145" s="119"/>
      <c r="EX145" s="119"/>
      <c r="EY145" s="119"/>
      <c r="EZ145" s="119"/>
      <c r="FA145" s="119"/>
      <c r="FB145" s="119"/>
      <c r="FC145" s="119"/>
      <c r="FD145" s="119"/>
      <c r="FE145" s="119"/>
    </row>
    <row r="146" spans="1:161" ht="13.5" customHeight="1" x14ac:dyDescent="0.2">
      <c r="A146" s="120"/>
      <c r="B146" s="258"/>
      <c r="C146" s="258"/>
      <c r="D146" s="258"/>
      <c r="E146" s="258"/>
      <c r="F146" s="258"/>
      <c r="G146" s="269"/>
      <c r="H146" s="269"/>
      <c r="I146" s="269"/>
      <c r="J146" s="269"/>
      <c r="K146" s="269"/>
      <c r="L146" s="269"/>
      <c r="M146" s="269"/>
      <c r="N146" s="269"/>
      <c r="O146" s="269"/>
      <c r="P146" s="269"/>
      <c r="Q146" s="269"/>
      <c r="R146" s="269"/>
      <c r="S146" s="269"/>
      <c r="T146" s="269"/>
      <c r="U146" s="269"/>
      <c r="V146" s="269"/>
      <c r="W146" s="269"/>
      <c r="X146" s="269"/>
      <c r="Y146" s="269"/>
      <c r="Z146" s="269"/>
      <c r="AA146" s="269"/>
      <c r="AB146" s="269"/>
      <c r="AC146" s="269"/>
      <c r="AD146" s="269"/>
      <c r="AE146" s="269"/>
      <c r="AF146" s="269"/>
      <c r="AG146" s="269"/>
      <c r="AH146" s="269"/>
      <c r="AI146" s="269"/>
      <c r="AJ146" s="269"/>
      <c r="AK146" s="269"/>
      <c r="AL146" s="269"/>
      <c r="AM146" s="269"/>
      <c r="AN146" s="269"/>
      <c r="AO146" s="269"/>
      <c r="AP146" s="269"/>
      <c r="AQ146" s="269"/>
      <c r="AR146" s="269"/>
      <c r="AS146" s="269"/>
      <c r="AT146" s="269"/>
      <c r="AU146" s="269"/>
      <c r="AV146" s="269"/>
      <c r="AW146" s="269"/>
      <c r="AX146" s="269"/>
      <c r="AY146" s="269"/>
      <c r="AZ146" s="269"/>
      <c r="BA146" s="269"/>
      <c r="BB146" s="269"/>
      <c r="BC146" s="269"/>
      <c r="BD146" s="269"/>
      <c r="BE146" s="269"/>
      <c r="BF146" s="269"/>
      <c r="BG146" s="269"/>
      <c r="BH146" s="269"/>
      <c r="BI146" s="269"/>
      <c r="BJ146" s="269"/>
      <c r="BK146" s="269"/>
      <c r="BL146" s="269"/>
      <c r="BM146" s="269"/>
      <c r="BN146" s="269"/>
      <c r="BO146" s="269"/>
      <c r="BP146" s="269"/>
      <c r="BQ146" s="269"/>
      <c r="BR146" s="269"/>
      <c r="BS146" s="269"/>
      <c r="BT146" s="269"/>
      <c r="BU146" s="269"/>
      <c r="BV146" s="269"/>
      <c r="BW146" s="269"/>
      <c r="BX146" s="269"/>
      <c r="BY146" s="269"/>
      <c r="BZ146" s="269"/>
      <c r="CA146" s="269"/>
      <c r="CB146" s="269"/>
      <c r="CC146" s="269"/>
      <c r="CD146" s="269"/>
      <c r="CE146" s="269"/>
      <c r="CF146" s="269"/>
      <c r="CG146" s="269"/>
      <c r="CH146" s="269"/>
      <c r="CI146" s="269"/>
      <c r="CJ146" s="269"/>
      <c r="CK146" s="269"/>
      <c r="CL146" s="269"/>
      <c r="CM146" s="269"/>
      <c r="CN146" s="269"/>
      <c r="CO146" s="269"/>
      <c r="CP146" s="269"/>
      <c r="CQ146" s="269"/>
      <c r="CR146" s="269"/>
      <c r="CS146" s="269"/>
      <c r="CT146" s="269"/>
      <c r="CU146" s="269"/>
      <c r="CV146" s="269"/>
      <c r="CW146" s="269"/>
      <c r="CX146" s="269"/>
      <c r="CY146" s="269"/>
      <c r="CZ146" s="269"/>
      <c r="DA146" s="269"/>
      <c r="DB146" s="269"/>
      <c r="DC146" s="269"/>
      <c r="DD146" s="269"/>
      <c r="DE146" s="269"/>
      <c r="DF146" s="269"/>
      <c r="DG146" s="269"/>
      <c r="DH146" s="269"/>
      <c r="DI146" s="269"/>
      <c r="DJ146" s="269"/>
      <c r="DK146" s="269"/>
      <c r="DL146" s="269"/>
      <c r="DM146" s="269"/>
      <c r="DN146" s="269"/>
      <c r="DO146" s="269"/>
      <c r="EQ146" s="119"/>
      <c r="ER146" s="119"/>
      <c r="ES146" s="119"/>
      <c r="ET146" s="119"/>
      <c r="EU146" s="119"/>
      <c r="EV146" s="119"/>
      <c r="EW146" s="119"/>
      <c r="EX146" s="119"/>
      <c r="EY146" s="119"/>
      <c r="EZ146" s="119"/>
      <c r="FA146" s="119"/>
      <c r="FB146" s="119"/>
      <c r="FC146" s="119"/>
      <c r="FD146" s="119"/>
      <c r="FE146" s="119"/>
    </row>
    <row r="147" spans="1:161" ht="13.5" customHeight="1" x14ac:dyDescent="0.2">
      <c r="A147" s="120"/>
      <c r="B147" s="258"/>
      <c r="C147" s="258"/>
      <c r="D147" s="258"/>
      <c r="E147" s="258"/>
      <c r="F147" s="258"/>
      <c r="G147" s="269"/>
      <c r="H147" s="269"/>
      <c r="I147" s="269"/>
      <c r="J147" s="269"/>
      <c r="K147" s="269"/>
      <c r="L147" s="269"/>
      <c r="M147" s="269"/>
      <c r="N147" s="269"/>
      <c r="O147" s="269"/>
      <c r="P147" s="269"/>
      <c r="Q147" s="269"/>
      <c r="R147" s="269"/>
      <c r="S147" s="269"/>
      <c r="T147" s="269"/>
      <c r="U147" s="269"/>
      <c r="V147" s="269"/>
      <c r="W147" s="269"/>
      <c r="X147" s="269"/>
      <c r="Y147" s="269"/>
      <c r="Z147" s="269"/>
      <c r="AA147" s="269"/>
      <c r="AB147" s="269"/>
      <c r="AC147" s="269"/>
      <c r="AD147" s="269"/>
      <c r="AE147" s="269"/>
      <c r="AF147" s="269"/>
      <c r="AG147" s="269"/>
      <c r="AH147" s="269"/>
      <c r="AI147" s="269"/>
      <c r="AJ147" s="269"/>
      <c r="AK147" s="269"/>
      <c r="AL147" s="269"/>
      <c r="AM147" s="269"/>
      <c r="AN147" s="269"/>
      <c r="AO147" s="269"/>
      <c r="AP147" s="269"/>
      <c r="AQ147" s="269"/>
      <c r="AR147" s="269"/>
      <c r="AS147" s="269"/>
      <c r="AT147" s="269"/>
      <c r="AU147" s="269"/>
      <c r="AV147" s="269"/>
      <c r="AW147" s="269"/>
      <c r="AX147" s="269"/>
      <c r="AY147" s="269"/>
      <c r="AZ147" s="269"/>
      <c r="BA147" s="269"/>
      <c r="BB147" s="269"/>
      <c r="BC147" s="269"/>
      <c r="BD147" s="269"/>
      <c r="BE147" s="269"/>
      <c r="BF147" s="269"/>
      <c r="BG147" s="269"/>
      <c r="BH147" s="269"/>
      <c r="BI147" s="269"/>
      <c r="BJ147" s="269"/>
      <c r="BK147" s="269"/>
      <c r="BL147" s="269"/>
      <c r="BM147" s="269"/>
      <c r="BN147" s="269"/>
      <c r="BO147" s="269"/>
      <c r="BP147" s="269"/>
      <c r="BQ147" s="269"/>
      <c r="BR147" s="269"/>
      <c r="BS147" s="269"/>
      <c r="BT147" s="269"/>
      <c r="BU147" s="269"/>
      <c r="BV147" s="269"/>
      <c r="BW147" s="269"/>
      <c r="BX147" s="269"/>
      <c r="BY147" s="269"/>
      <c r="BZ147" s="269"/>
      <c r="CA147" s="269"/>
      <c r="CB147" s="269"/>
      <c r="CC147" s="269"/>
      <c r="CD147" s="269"/>
      <c r="CE147" s="269"/>
      <c r="CF147" s="269"/>
      <c r="CG147" s="269"/>
      <c r="CH147" s="269"/>
      <c r="CI147" s="269"/>
      <c r="CJ147" s="269"/>
      <c r="CK147" s="269"/>
      <c r="CL147" s="269"/>
      <c r="CM147" s="269"/>
      <c r="CN147" s="269"/>
      <c r="CO147" s="269"/>
      <c r="CP147" s="269"/>
      <c r="CQ147" s="269"/>
      <c r="CR147" s="269"/>
      <c r="CS147" s="269"/>
      <c r="CT147" s="269"/>
      <c r="CU147" s="269"/>
      <c r="CV147" s="269"/>
      <c r="CW147" s="269"/>
      <c r="CX147" s="269"/>
      <c r="CY147" s="269"/>
      <c r="CZ147" s="269"/>
      <c r="DA147" s="269"/>
      <c r="DB147" s="269"/>
      <c r="DC147" s="269"/>
      <c r="DD147" s="269"/>
      <c r="DE147" s="269"/>
      <c r="DF147" s="269"/>
      <c r="DG147" s="269"/>
      <c r="DH147" s="269"/>
      <c r="DI147" s="269"/>
      <c r="DJ147" s="269"/>
      <c r="DK147" s="269"/>
      <c r="DL147" s="269"/>
      <c r="DM147" s="269"/>
      <c r="DN147" s="269"/>
      <c r="DO147" s="269"/>
      <c r="EQ147" s="119"/>
      <c r="ER147" s="119"/>
      <c r="ES147" s="119"/>
      <c r="ET147" s="119"/>
      <c r="EU147" s="119"/>
      <c r="EV147" s="119"/>
      <c r="EW147" s="119"/>
      <c r="EX147" s="119"/>
      <c r="EY147" s="119"/>
      <c r="EZ147" s="119"/>
      <c r="FA147" s="119"/>
      <c r="FB147" s="119"/>
      <c r="FC147" s="119"/>
      <c r="FD147" s="119"/>
      <c r="FE147" s="119"/>
    </row>
    <row r="148" spans="1:161" ht="13.5" customHeight="1" x14ac:dyDescent="0.2">
      <c r="A148" s="120"/>
      <c r="B148" s="258"/>
      <c r="C148" s="258"/>
      <c r="D148" s="258"/>
      <c r="E148" s="258"/>
      <c r="F148" s="258"/>
      <c r="G148" s="269"/>
      <c r="H148" s="269"/>
      <c r="I148" s="269"/>
      <c r="J148" s="269"/>
      <c r="K148" s="269"/>
      <c r="L148" s="269"/>
      <c r="M148" s="269"/>
      <c r="N148" s="269"/>
      <c r="O148" s="269"/>
      <c r="P148" s="269"/>
      <c r="Q148" s="269"/>
      <c r="R148" s="269"/>
      <c r="S148" s="269"/>
      <c r="T148" s="269"/>
      <c r="U148" s="269"/>
      <c r="V148" s="269"/>
      <c r="W148" s="269"/>
      <c r="X148" s="269"/>
      <c r="Y148" s="269"/>
      <c r="Z148" s="269"/>
      <c r="AA148" s="269"/>
      <c r="AB148" s="269"/>
      <c r="AC148" s="269"/>
      <c r="AD148" s="269"/>
      <c r="AE148" s="269"/>
      <c r="AF148" s="269"/>
      <c r="AG148" s="269"/>
      <c r="AH148" s="269"/>
      <c r="AI148" s="269"/>
      <c r="AJ148" s="269"/>
      <c r="AK148" s="269"/>
      <c r="AL148" s="269"/>
      <c r="AM148" s="269"/>
      <c r="AN148" s="269"/>
      <c r="AO148" s="269"/>
      <c r="AP148" s="269"/>
      <c r="AQ148" s="269"/>
      <c r="AR148" s="269"/>
      <c r="AS148" s="269"/>
      <c r="AT148" s="269"/>
      <c r="AU148" s="269"/>
      <c r="AV148" s="269"/>
      <c r="AW148" s="269"/>
      <c r="AX148" s="269"/>
      <c r="AY148" s="269"/>
      <c r="AZ148" s="269"/>
      <c r="BA148" s="269"/>
      <c r="BB148" s="269"/>
      <c r="BC148" s="269"/>
      <c r="BD148" s="269"/>
      <c r="BE148" s="269"/>
      <c r="BF148" s="269"/>
      <c r="BG148" s="269"/>
      <c r="BH148" s="269"/>
      <c r="BI148" s="269"/>
      <c r="BJ148" s="269"/>
      <c r="BK148" s="269"/>
      <c r="BL148" s="269"/>
      <c r="BM148" s="269"/>
      <c r="BN148" s="269"/>
      <c r="BO148" s="269"/>
      <c r="BP148" s="269"/>
      <c r="BQ148" s="269"/>
      <c r="BR148" s="269"/>
      <c r="BS148" s="269"/>
      <c r="BT148" s="269"/>
      <c r="BU148" s="269"/>
      <c r="BV148" s="269"/>
      <c r="BW148" s="269"/>
      <c r="BX148" s="269"/>
      <c r="BY148" s="269"/>
      <c r="BZ148" s="269"/>
      <c r="CA148" s="269"/>
      <c r="CB148" s="269"/>
      <c r="CC148" s="269"/>
      <c r="CD148" s="269"/>
      <c r="CE148" s="269"/>
      <c r="CF148" s="269"/>
      <c r="CG148" s="269"/>
      <c r="CH148" s="269"/>
      <c r="CI148" s="269"/>
      <c r="CJ148" s="269"/>
      <c r="CK148" s="269"/>
      <c r="CL148" s="269"/>
      <c r="CM148" s="269"/>
      <c r="CN148" s="269"/>
      <c r="CO148" s="269"/>
      <c r="CP148" s="269"/>
      <c r="CQ148" s="269"/>
      <c r="CR148" s="269"/>
      <c r="CS148" s="269"/>
      <c r="CT148" s="269"/>
      <c r="CU148" s="269"/>
      <c r="CV148" s="269"/>
      <c r="CW148" s="269"/>
      <c r="CX148" s="269"/>
      <c r="CY148" s="269"/>
      <c r="CZ148" s="269"/>
      <c r="DA148" s="269"/>
      <c r="DB148" s="269"/>
      <c r="DC148" s="269"/>
      <c r="DD148" s="269"/>
      <c r="DE148" s="269"/>
      <c r="DF148" s="269"/>
      <c r="DG148" s="269"/>
      <c r="DH148" s="269"/>
      <c r="DI148" s="269"/>
      <c r="DJ148" s="269"/>
      <c r="DK148" s="269"/>
      <c r="DL148" s="269"/>
      <c r="DM148" s="269"/>
      <c r="DN148" s="269"/>
      <c r="DO148" s="269"/>
      <c r="EQ148" s="119"/>
      <c r="ER148" s="119"/>
      <c r="ES148" s="119"/>
      <c r="ET148" s="119"/>
      <c r="EU148" s="119"/>
      <c r="EV148" s="119"/>
      <c r="EW148" s="119"/>
      <c r="EX148" s="119"/>
      <c r="EY148" s="119"/>
      <c r="EZ148" s="119"/>
      <c r="FA148" s="119"/>
      <c r="FB148" s="119"/>
      <c r="FC148" s="119"/>
      <c r="FD148" s="119"/>
      <c r="FE148" s="119"/>
    </row>
    <row r="149" spans="1:161" ht="11.1" customHeight="1" x14ac:dyDescent="0.2">
      <c r="A149" s="120"/>
      <c r="B149" s="288"/>
      <c r="C149" s="288"/>
      <c r="D149" s="288"/>
      <c r="E149" s="288"/>
      <c r="F149" s="288"/>
      <c r="G149" s="122"/>
      <c r="H149" s="122"/>
      <c r="I149" s="122"/>
      <c r="J149" s="122"/>
      <c r="K149" s="122"/>
      <c r="L149" s="122"/>
      <c r="M149" s="122"/>
      <c r="N149" s="122"/>
      <c r="O149" s="122"/>
      <c r="P149" s="122"/>
      <c r="Q149" s="122"/>
      <c r="R149" s="122"/>
      <c r="S149" s="122"/>
      <c r="T149" s="124"/>
      <c r="U149" s="122"/>
      <c r="V149" s="122"/>
      <c r="W149" s="124"/>
      <c r="X149" s="122"/>
      <c r="Y149" s="122"/>
      <c r="Z149" s="124"/>
      <c r="AA149" s="122"/>
      <c r="AB149" s="122"/>
      <c r="AC149" s="124"/>
      <c r="AD149" s="122"/>
      <c r="AE149" s="122"/>
      <c r="AF149" s="124"/>
      <c r="AG149" s="122"/>
      <c r="AH149" s="122"/>
      <c r="AI149" s="124"/>
      <c r="AJ149" s="122"/>
      <c r="AK149" s="122"/>
      <c r="AL149" s="124"/>
      <c r="AM149" s="122"/>
      <c r="AN149" s="122"/>
      <c r="AO149" s="124"/>
      <c r="AP149" s="122"/>
      <c r="AQ149" s="122"/>
      <c r="AR149" s="124"/>
      <c r="AS149" s="122"/>
      <c r="AT149" s="122"/>
      <c r="AU149" s="124"/>
      <c r="AV149" s="122"/>
      <c r="AW149" s="122"/>
      <c r="AX149" s="124"/>
      <c r="AY149" s="122"/>
      <c r="AZ149" s="122"/>
      <c r="BA149" s="124"/>
      <c r="BB149" s="122"/>
      <c r="BC149" s="122"/>
      <c r="BD149" s="124"/>
      <c r="BE149" s="122"/>
      <c r="BF149" s="122"/>
      <c r="BG149" s="124"/>
      <c r="BH149" s="122"/>
      <c r="BI149" s="122"/>
      <c r="BJ149" s="124"/>
      <c r="BK149" s="122"/>
      <c r="BL149" s="122"/>
      <c r="BM149" s="124"/>
      <c r="BN149" s="122"/>
      <c r="BO149" s="122"/>
      <c r="BP149" s="124"/>
      <c r="BQ149" s="122"/>
      <c r="BR149" s="122"/>
      <c r="BS149" s="124"/>
      <c r="BT149" s="122"/>
      <c r="BU149" s="122"/>
      <c r="BV149" s="124"/>
      <c r="BW149" s="122"/>
      <c r="BX149" s="122"/>
      <c r="BY149" s="124"/>
      <c r="EQ149" s="119"/>
      <c r="ER149" s="119"/>
      <c r="ES149" s="119"/>
      <c r="ET149" s="119"/>
      <c r="EU149" s="119"/>
      <c r="EV149" s="119"/>
      <c r="EW149" s="119"/>
      <c r="EX149" s="119"/>
      <c r="EY149" s="119"/>
      <c r="EZ149" s="119"/>
      <c r="FA149" s="119"/>
      <c r="FB149" s="119"/>
    </row>
    <row r="150" spans="1:161" ht="11.1" customHeight="1" x14ac:dyDescent="0.2">
      <c r="A150" s="120"/>
      <c r="B150" s="120"/>
      <c r="C150" s="120"/>
      <c r="D150" s="120"/>
      <c r="E150" s="120"/>
      <c r="F150" s="120"/>
      <c r="EQ150" s="119"/>
      <c r="ER150" s="119"/>
      <c r="ES150" s="119"/>
      <c r="ET150" s="119"/>
      <c r="EU150" s="119"/>
      <c r="EV150" s="119"/>
      <c r="EW150" s="119"/>
      <c r="EX150" s="119"/>
      <c r="EY150" s="119"/>
      <c r="EZ150" s="119"/>
      <c r="FA150" s="119"/>
      <c r="FB150" s="119"/>
    </row>
    <row r="151" spans="1:161" ht="11.1" customHeight="1" x14ac:dyDescent="0.2">
      <c r="A151" s="120"/>
      <c r="B151" s="120"/>
      <c r="C151" s="120"/>
      <c r="D151" s="120"/>
      <c r="E151" s="120"/>
      <c r="F151" s="120"/>
      <c r="EQ151" s="119"/>
      <c r="ER151" s="119"/>
      <c r="ES151" s="119"/>
      <c r="ET151" s="119"/>
      <c r="EU151" s="119"/>
      <c r="EV151" s="119"/>
      <c r="EW151" s="119"/>
      <c r="EX151" s="119"/>
      <c r="EY151" s="119"/>
      <c r="EZ151" s="119"/>
      <c r="FA151" s="119"/>
      <c r="FB151" s="119"/>
    </row>
    <row r="152" spans="1:161" ht="11.1" customHeight="1" x14ac:dyDescent="0.2">
      <c r="A152" s="120"/>
      <c r="B152" s="120"/>
      <c r="C152" s="120"/>
      <c r="D152" s="120"/>
      <c r="E152" s="120"/>
      <c r="F152" s="120"/>
      <c r="EQ152" s="119"/>
      <c r="ER152" s="119"/>
      <c r="ES152" s="119"/>
      <c r="ET152" s="119"/>
      <c r="EU152" s="119"/>
      <c r="EV152" s="119"/>
      <c r="EW152" s="119"/>
      <c r="EX152" s="119"/>
      <c r="EY152" s="119"/>
      <c r="EZ152" s="119"/>
      <c r="FA152" s="119"/>
      <c r="FB152" s="119"/>
    </row>
    <row r="153" spans="1:161" ht="11.1" customHeight="1" x14ac:dyDescent="0.2">
      <c r="EQ153" s="119"/>
      <c r="ER153" s="119"/>
      <c r="ES153" s="119"/>
      <c r="ET153" s="119"/>
      <c r="EU153" s="119"/>
      <c r="EV153" s="119"/>
      <c r="EW153" s="119"/>
      <c r="EX153" s="119"/>
      <c r="EY153" s="119"/>
      <c r="EZ153" s="119"/>
      <c r="FA153" s="119"/>
      <c r="FB153" s="119"/>
    </row>
    <row r="154" spans="1:161" ht="11.1" customHeight="1" x14ac:dyDescent="0.2">
      <c r="EQ154" s="119"/>
      <c r="ER154" s="119"/>
      <c r="ES154" s="119"/>
      <c r="ET154" s="119"/>
      <c r="EU154" s="119"/>
      <c r="EV154" s="119"/>
      <c r="EW154" s="119"/>
      <c r="EX154" s="119"/>
      <c r="EY154" s="119"/>
      <c r="EZ154" s="119"/>
      <c r="FA154" s="119"/>
      <c r="FB154" s="119"/>
    </row>
    <row r="155" spans="1:161" ht="12.6" customHeight="1" x14ac:dyDescent="0.2">
      <c r="EQ155" s="119"/>
      <c r="ER155" s="119"/>
      <c r="ES155" s="119"/>
      <c r="ET155" s="119"/>
      <c r="EU155" s="119"/>
      <c r="EV155" s="119"/>
      <c r="EW155" s="119"/>
      <c r="EX155" s="119"/>
      <c r="EY155" s="119"/>
      <c r="EZ155" s="119"/>
      <c r="FA155" s="119"/>
      <c r="FB155" s="119"/>
    </row>
    <row r="156" spans="1:161" x14ac:dyDescent="0.2">
      <c r="EQ156" s="119"/>
      <c r="ER156" s="119"/>
      <c r="ES156" s="119"/>
      <c r="ET156" s="119"/>
      <c r="EU156" s="119"/>
      <c r="EV156" s="119"/>
      <c r="EW156" s="119"/>
      <c r="EX156" s="119"/>
      <c r="EY156" s="119"/>
      <c r="EZ156" s="119"/>
      <c r="FA156" s="119"/>
      <c r="FB156" s="119"/>
    </row>
    <row r="157" spans="1:161" x14ac:dyDescent="0.2">
      <c r="EQ157" s="119"/>
      <c r="ER157" s="119"/>
      <c r="ES157" s="119"/>
      <c r="ET157" s="119"/>
      <c r="EU157" s="119"/>
      <c r="EV157" s="119"/>
      <c r="EW157" s="119"/>
      <c r="EX157" s="119"/>
      <c r="EY157" s="119"/>
      <c r="EZ157" s="119"/>
      <c r="FA157" s="119"/>
      <c r="FB157" s="119"/>
    </row>
    <row r="158" spans="1:161" x14ac:dyDescent="0.2">
      <c r="EQ158" s="119"/>
      <c r="ER158" s="119"/>
      <c r="ES158" s="119"/>
      <c r="ET158" s="119"/>
      <c r="EU158" s="119"/>
      <c r="EV158" s="119"/>
      <c r="EW158" s="119"/>
      <c r="EX158" s="119"/>
      <c r="EY158" s="119"/>
      <c r="EZ158" s="119"/>
      <c r="FA158" s="119"/>
      <c r="FB158" s="119"/>
    </row>
    <row r="159" spans="1:161" x14ac:dyDescent="0.2">
      <c r="EQ159" s="119"/>
      <c r="ER159" s="119"/>
      <c r="ES159" s="119"/>
      <c r="ET159" s="119"/>
      <c r="EU159" s="119"/>
      <c r="EV159" s="119"/>
      <c r="EW159" s="119"/>
      <c r="EX159" s="119"/>
      <c r="EY159" s="119"/>
      <c r="EZ159" s="119"/>
      <c r="FA159" s="119"/>
      <c r="FB159" s="119"/>
    </row>
    <row r="160" spans="1:161" x14ac:dyDescent="0.2">
      <c r="EQ160" s="119"/>
      <c r="ER160" s="119"/>
      <c r="ES160" s="119"/>
      <c r="ET160" s="119"/>
      <c r="EU160" s="119"/>
      <c r="EV160" s="119"/>
      <c r="EW160" s="119"/>
      <c r="EX160" s="119"/>
      <c r="EY160" s="119"/>
      <c r="EZ160" s="119"/>
      <c r="FA160" s="119"/>
      <c r="FB160" s="119"/>
    </row>
    <row r="161" spans="147:158" x14ac:dyDescent="0.2">
      <c r="EQ161" s="119"/>
      <c r="ER161" s="119"/>
      <c r="ES161" s="119"/>
      <c r="ET161" s="119"/>
      <c r="EU161" s="119"/>
      <c r="EV161" s="119"/>
      <c r="EW161" s="119"/>
      <c r="EX161" s="119"/>
      <c r="EY161" s="119"/>
      <c r="EZ161" s="119"/>
      <c r="FA161" s="119"/>
      <c r="FB161" s="119"/>
    </row>
    <row r="195" spans="2:161" ht="13.5" customHeight="1" x14ac:dyDescent="0.2">
      <c r="B195" s="278"/>
      <c r="C195" s="278"/>
      <c r="D195" s="124"/>
      <c r="E195" s="124"/>
      <c r="F195" s="124"/>
      <c r="G195" s="124"/>
      <c r="H195" s="124"/>
      <c r="I195" s="124"/>
      <c r="J195" s="124"/>
      <c r="K195" s="124"/>
      <c r="L195" s="124"/>
      <c r="M195" s="277"/>
      <c r="N195" s="277"/>
      <c r="O195" s="460" t="s">
        <v>57</v>
      </c>
      <c r="P195" s="461"/>
      <c r="R195" s="239"/>
      <c r="S195" s="277"/>
      <c r="U195" s="239"/>
      <c r="V195" s="277"/>
      <c r="X195" s="239"/>
      <c r="Y195" s="277"/>
      <c r="AA195" s="239"/>
      <c r="AB195" s="277"/>
      <c r="AD195" s="239"/>
      <c r="AE195" s="277"/>
      <c r="AG195" s="239"/>
      <c r="AH195" s="277"/>
      <c r="AJ195" s="239"/>
      <c r="AK195" s="277"/>
      <c r="AM195" s="239"/>
      <c r="AN195" s="277"/>
      <c r="AP195" s="239"/>
      <c r="AQ195" s="277"/>
      <c r="AS195" s="239"/>
      <c r="AT195" s="277"/>
      <c r="AV195" s="239"/>
      <c r="AW195" s="277"/>
      <c r="AY195" s="239"/>
      <c r="AZ195" s="277"/>
      <c r="BB195" s="239"/>
      <c r="BC195" s="277"/>
      <c r="BE195" s="239"/>
      <c r="BF195" s="277"/>
      <c r="BH195" s="239"/>
      <c r="BI195" s="277"/>
      <c r="BK195" s="239"/>
      <c r="BL195" s="277"/>
      <c r="BN195" s="239"/>
      <c r="BO195" s="277"/>
      <c r="BQ195" s="239"/>
      <c r="BR195" s="277"/>
      <c r="BT195" s="239"/>
      <c r="BU195" s="277"/>
      <c r="BW195" s="239"/>
      <c r="BX195" s="277"/>
      <c r="BZ195" s="239"/>
      <c r="CA195" s="239"/>
      <c r="CB195" s="239"/>
      <c r="CC195" s="239"/>
      <c r="CD195" s="239"/>
      <c r="EQ195" s="119"/>
      <c r="ER195" s="119"/>
      <c r="ES195" s="119"/>
      <c r="ET195" s="119"/>
      <c r="EU195" s="119"/>
      <c r="EV195" s="119"/>
      <c r="EW195" s="119"/>
      <c r="EX195" s="119"/>
      <c r="EY195" s="119"/>
      <c r="EZ195" s="119"/>
      <c r="FA195" s="119"/>
      <c r="FB195" s="119"/>
    </row>
    <row r="196" spans="2:161" ht="13.5" customHeight="1" x14ac:dyDescent="0.2">
      <c r="B196" s="278"/>
      <c r="C196" s="279"/>
      <c r="D196" s="124"/>
      <c r="E196" s="124"/>
      <c r="F196" s="124"/>
      <c r="G196" s="124"/>
      <c r="H196" s="124"/>
      <c r="I196" s="124"/>
      <c r="J196" s="124"/>
      <c r="K196" s="124"/>
      <c r="L196" s="121"/>
      <c r="M196" s="244" t="s">
        <v>17</v>
      </c>
      <c r="N196" s="118"/>
      <c r="O196" s="455" t="s">
        <v>18</v>
      </c>
      <c r="P196" s="456"/>
      <c r="Q196" s="121"/>
      <c r="R196" s="239"/>
      <c r="S196" s="277"/>
      <c r="T196" s="277"/>
      <c r="U196" s="239"/>
      <c r="V196" s="277"/>
      <c r="W196" s="277"/>
      <c r="X196" s="239"/>
      <c r="Y196" s="277"/>
      <c r="Z196" s="277"/>
      <c r="AA196" s="239"/>
      <c r="AB196" s="277"/>
      <c r="AC196" s="277"/>
      <c r="AD196" s="239"/>
      <c r="AE196" s="277"/>
      <c r="AF196" s="277"/>
      <c r="AG196" s="239"/>
      <c r="AH196" s="277"/>
      <c r="AI196" s="277"/>
      <c r="AJ196" s="239"/>
      <c r="AK196" s="277"/>
      <c r="AL196" s="277"/>
      <c r="AM196" s="239"/>
      <c r="AN196" s="277"/>
      <c r="AO196" s="277"/>
      <c r="AP196" s="239"/>
      <c r="AQ196" s="277"/>
      <c r="AR196" s="277"/>
      <c r="AS196" s="239"/>
      <c r="AT196" s="277"/>
      <c r="AU196" s="277"/>
      <c r="AV196" s="239"/>
      <c r="AW196" s="277"/>
      <c r="AX196" s="277"/>
      <c r="AY196" s="239"/>
      <c r="AZ196" s="277"/>
      <c r="BA196" s="277"/>
      <c r="BB196" s="239"/>
      <c r="BC196" s="277"/>
      <c r="BD196" s="277"/>
      <c r="BE196" s="239"/>
      <c r="BF196" s="277"/>
      <c r="BG196" s="277"/>
      <c r="BH196" s="239"/>
      <c r="BI196" s="277"/>
      <c r="BJ196" s="277"/>
      <c r="BK196" s="239"/>
      <c r="BL196" s="277"/>
      <c r="BM196" s="277"/>
      <c r="BN196" s="239"/>
      <c r="BO196" s="277"/>
      <c r="BP196" s="277"/>
      <c r="BQ196" s="239"/>
      <c r="BR196" s="277"/>
      <c r="BS196" s="277"/>
      <c r="BT196" s="239"/>
      <c r="BU196" s="277"/>
      <c r="BV196" s="277"/>
      <c r="BW196" s="239"/>
      <c r="BX196" s="277"/>
      <c r="BY196" s="277"/>
      <c r="BZ196" s="239"/>
      <c r="CA196" s="239"/>
      <c r="CB196" s="239"/>
      <c r="CC196" s="239"/>
      <c r="CD196" s="239"/>
      <c r="CL196" s="239"/>
      <c r="CM196" s="239"/>
      <c r="CN196" s="239"/>
      <c r="CP196" s="442" t="s">
        <v>18</v>
      </c>
      <c r="CQ196" s="443"/>
      <c r="CR196" s="443"/>
      <c r="CS196" s="443"/>
      <c r="CT196" s="443"/>
      <c r="CU196" s="443"/>
      <c r="CV196" s="444"/>
      <c r="CW196" s="118" t="s">
        <v>19</v>
      </c>
      <c r="CX196" s="245" t="s">
        <v>20</v>
      </c>
      <c r="CZ196" s="239"/>
      <c r="EQ196" s="119"/>
      <c r="ER196" s="119"/>
      <c r="ES196" s="119"/>
      <c r="ET196" s="119"/>
      <c r="EU196" s="119"/>
      <c r="EV196" s="119"/>
      <c r="EW196" s="119"/>
      <c r="EX196" s="119"/>
      <c r="EY196" s="119"/>
      <c r="EZ196" s="119"/>
      <c r="FA196" s="119"/>
    </row>
    <row r="197" spans="2:161" ht="13.5" customHeight="1" x14ac:dyDescent="0.2">
      <c r="B197" s="247" t="s">
        <v>54</v>
      </c>
      <c r="C197" s="280"/>
      <c r="D197" s="248" t="s">
        <v>22</v>
      </c>
      <c r="E197" s="249" t="s">
        <v>23</v>
      </c>
      <c r="F197" s="249" t="s">
        <v>24</v>
      </c>
      <c r="G197" s="249" t="s">
        <v>25</v>
      </c>
      <c r="H197" s="250" t="s">
        <v>26</v>
      </c>
      <c r="I197" s="251"/>
      <c r="J197" s="250" t="s">
        <v>27</v>
      </c>
      <c r="K197" s="251"/>
      <c r="L197" s="121"/>
      <c r="M197" s="252" t="s">
        <v>28</v>
      </c>
      <c r="N197" s="118"/>
      <c r="O197" s="249" t="s">
        <v>27</v>
      </c>
      <c r="P197" s="252" t="s">
        <v>170</v>
      </c>
      <c r="Q197" s="121"/>
      <c r="R197" s="281"/>
      <c r="S197" s="282"/>
      <c r="U197" s="281"/>
      <c r="V197" s="282"/>
      <c r="X197" s="281"/>
      <c r="Y197" s="282"/>
      <c r="AA197" s="281"/>
      <c r="AB197" s="282"/>
      <c r="AD197" s="281"/>
      <c r="AE197" s="282"/>
      <c r="AG197" s="281"/>
      <c r="AH197" s="282"/>
      <c r="AJ197" s="281"/>
      <c r="AK197" s="282"/>
      <c r="AM197" s="281"/>
      <c r="AN197" s="282"/>
      <c r="AP197" s="281"/>
      <c r="AQ197" s="282"/>
      <c r="AS197" s="281"/>
      <c r="AT197" s="282"/>
      <c r="AV197" s="281"/>
      <c r="AW197" s="282"/>
      <c r="AY197" s="281"/>
      <c r="AZ197" s="282"/>
      <c r="BB197" s="281"/>
      <c r="BC197" s="282"/>
      <c r="BE197" s="281"/>
      <c r="BF197" s="282"/>
      <c r="BH197" s="281"/>
      <c r="BI197" s="282"/>
      <c r="BK197" s="281"/>
      <c r="BL197" s="282"/>
      <c r="BN197" s="281"/>
      <c r="BO197" s="282"/>
      <c r="BQ197" s="281"/>
      <c r="BR197" s="282"/>
      <c r="BT197" s="281"/>
      <c r="BU197" s="282"/>
      <c r="BW197" s="281"/>
      <c r="BX197" s="282"/>
      <c r="BZ197" s="239"/>
      <c r="CA197" s="277"/>
      <c r="CB197" s="239"/>
      <c r="CC197" s="239"/>
      <c r="CD197" s="277"/>
      <c r="CP197" s="249" t="s">
        <v>22</v>
      </c>
      <c r="CQ197" s="249" t="s">
        <v>23</v>
      </c>
      <c r="CR197" s="249" t="s">
        <v>24</v>
      </c>
      <c r="CS197" s="249" t="s">
        <v>25</v>
      </c>
      <c r="CT197" s="250" t="s">
        <v>26</v>
      </c>
      <c r="CU197" s="251"/>
      <c r="CV197" s="249" t="s">
        <v>27</v>
      </c>
      <c r="CW197" s="118" t="s">
        <v>19</v>
      </c>
      <c r="CX197" s="256" t="s">
        <v>30</v>
      </c>
      <c r="CY197" s="119" t="s">
        <v>19</v>
      </c>
      <c r="EQ197" s="119"/>
      <c r="ER197" s="119"/>
      <c r="ES197" s="119"/>
      <c r="ET197" s="119"/>
      <c r="EU197" s="119"/>
      <c r="EV197" s="119"/>
      <c r="EW197" s="119"/>
      <c r="EX197" s="119"/>
      <c r="EY197" s="119"/>
      <c r="EZ197" s="119"/>
      <c r="FA197" s="119"/>
    </row>
    <row r="198" spans="2:161" ht="13.5" customHeight="1" x14ac:dyDescent="0.2">
      <c r="B198" s="131" t="s">
        <v>86</v>
      </c>
      <c r="C198" s="257" t="s">
        <v>38</v>
      </c>
      <c r="D198" s="133">
        <f t="shared" ref="D198:D231" si="86">COUNTA(R198,U198,X198,AA198,AD198,AG198,AJ198,AM198,AP198,AS198,AV198,AY198,BB198,BE198,BH198,BK198,BN198,BQ198,BT198,BW198,CC198,CF198,CI198)</f>
        <v>0</v>
      </c>
      <c r="E198" s="133" t="str">
        <f t="shared" ref="E198:E231" si="87">IF(COUNT(R198,U198,X198,AA198,AD198,AG198,AJ198,AM198,AP198,AS198,AV198,AY198,BB198,BE198,BH198,BK198,BN198,BQ198,BT198,BW198,CC198,CF198,CI198)=0,"-",COUNT(R198,U198,X198,AA198,AD198,AG198,AJ198,AM198,AP198,AS198,AV198,AY198,BB198,BE198,BH198,BK198,BN198,BQ198,BT198,BW198,CC198,CF198,CB))</f>
        <v>-</v>
      </c>
      <c r="F198" s="133" t="str">
        <f t="shared" ref="F198:F231" si="88">IF(E198="-","-",COUNTA(S198,V198,Y198,AB198,AE198,AH198,AK198,AN198,AQ198,AT198,AW198,AZ198,BC198,BF198,BI198,BL198,BO198,BR198,BU198,BX198,CD198,CG198,CJ198))</f>
        <v>-</v>
      </c>
      <c r="G198" s="133" t="str">
        <f t="shared" ref="G198:G231" si="89">IF(E198="-","-",SUM(R198:CJ198))</f>
        <v>-</v>
      </c>
      <c r="H198" s="258" t="str">
        <f t="shared" ref="H198:H231" si="90">IF(E198="-","-",MAX(R198:CK198))</f>
        <v>-</v>
      </c>
      <c r="I198" s="133"/>
      <c r="J198" s="259" t="str">
        <f t="shared" ref="J198:J231" si="91">IF(E198="-","-",IF(E198-F198=0,G198,G198/(E198-F198)))</f>
        <v>-</v>
      </c>
      <c r="K198" s="133" t="e">
        <f t="shared" ref="K198:K231" si="92">IF(E198=0,"",IF(E198-F198=0,"*",""))</f>
        <v>#VALUE!</v>
      </c>
      <c r="L198" s="121"/>
      <c r="M198" s="260" t="str">
        <f t="shared" ref="M198:M231" si="93">IF(E198="-", "-",G198-((E198-F198)*7))</f>
        <v>-</v>
      </c>
      <c r="N198" s="144"/>
      <c r="O198" s="261" t="s">
        <v>41</v>
      </c>
      <c r="P198" s="261" t="s">
        <v>41</v>
      </c>
      <c r="Q198" s="121"/>
      <c r="R198" s="265"/>
      <c r="S198" s="263"/>
      <c r="T198" s="284"/>
      <c r="U198" s="265"/>
      <c r="V198" s="263"/>
      <c r="W198" s="284"/>
      <c r="X198" s="265"/>
      <c r="Y198" s="263"/>
      <c r="Z198" s="284"/>
      <c r="AA198" s="265"/>
      <c r="AB198" s="263"/>
      <c r="AC198" s="284"/>
      <c r="AD198" s="265"/>
      <c r="AE198" s="263"/>
      <c r="AF198" s="284"/>
      <c r="AG198" s="265"/>
      <c r="AH198" s="263"/>
      <c r="AI198" s="284"/>
      <c r="AJ198" s="265"/>
      <c r="AK198" s="263"/>
      <c r="AL198" s="284"/>
      <c r="AM198" s="265"/>
      <c r="AN198" s="263"/>
      <c r="AO198" s="284"/>
      <c r="AP198" s="265"/>
      <c r="AQ198" s="263"/>
      <c r="AR198" s="284"/>
      <c r="AS198" s="265"/>
      <c r="AT198" s="263"/>
      <c r="AU198" s="284"/>
      <c r="AV198" s="265"/>
      <c r="AW198" s="263"/>
      <c r="AX198" s="284"/>
      <c r="AY198" s="265"/>
      <c r="AZ198" s="263"/>
      <c r="BA198" s="284"/>
      <c r="BB198" s="265"/>
      <c r="BC198" s="263"/>
      <c r="BD198" s="284"/>
      <c r="BE198" s="265"/>
      <c r="BF198" s="263"/>
      <c r="BG198" s="284"/>
      <c r="BH198" s="265"/>
      <c r="BI198" s="263"/>
      <c r="BJ198" s="284"/>
      <c r="BK198" s="265"/>
      <c r="BL198" s="263"/>
      <c r="BM198" s="284"/>
      <c r="BN198" s="265"/>
      <c r="BO198" s="263"/>
      <c r="BP198" s="284"/>
      <c r="BQ198" s="265"/>
      <c r="BR198" s="263"/>
      <c r="BS198" s="284"/>
      <c r="BT198" s="265"/>
      <c r="BU198" s="263"/>
      <c r="BV198" s="284"/>
      <c r="BW198" s="265"/>
      <c r="BX198" s="263"/>
      <c r="BY198" s="284"/>
      <c r="CE198" s="270"/>
      <c r="CF198" s="269"/>
      <c r="CG198" s="268"/>
      <c r="CH198" s="268"/>
      <c r="CI198" s="269"/>
      <c r="CJ198" s="268"/>
      <c r="CP198" s="153"/>
      <c r="CQ198" s="153"/>
      <c r="CR198" s="153"/>
      <c r="CS198" s="153"/>
      <c r="CT198" s="258"/>
      <c r="CU198" s="133"/>
      <c r="CV198" s="261"/>
      <c r="CX198" s="135"/>
      <c r="EQ198" s="119"/>
      <c r="ER198" s="119"/>
      <c r="ES198" s="119"/>
      <c r="ET198" s="119"/>
      <c r="EU198" s="119"/>
      <c r="EV198" s="119"/>
      <c r="EW198" s="119"/>
      <c r="EX198" s="119"/>
      <c r="EY198" s="119"/>
      <c r="EZ198" s="119"/>
      <c r="FA198" s="119"/>
      <c r="FB198" s="119"/>
      <c r="FC198" s="119"/>
      <c r="FD198" s="119"/>
      <c r="FE198" s="119"/>
    </row>
    <row r="199" spans="2:161" ht="13.5" customHeight="1" x14ac:dyDescent="0.2">
      <c r="B199" s="131" t="s">
        <v>113</v>
      </c>
      <c r="C199" s="257" t="s">
        <v>114</v>
      </c>
      <c r="D199" s="133">
        <f t="shared" si="86"/>
        <v>0</v>
      </c>
      <c r="E199" s="133" t="str">
        <f t="shared" si="87"/>
        <v>-</v>
      </c>
      <c r="F199" s="133" t="str">
        <f t="shared" si="88"/>
        <v>-</v>
      </c>
      <c r="G199" s="133" t="str">
        <f t="shared" si="89"/>
        <v>-</v>
      </c>
      <c r="H199" s="258" t="str">
        <f t="shared" si="90"/>
        <v>-</v>
      </c>
      <c r="I199" s="133"/>
      <c r="J199" s="259" t="str">
        <f t="shared" si="91"/>
        <v>-</v>
      </c>
      <c r="K199" s="133" t="e">
        <f t="shared" si="92"/>
        <v>#VALUE!</v>
      </c>
      <c r="L199" s="121"/>
      <c r="M199" s="260" t="str">
        <f t="shared" si="93"/>
        <v>-</v>
      </c>
      <c r="O199" s="261" t="s">
        <v>41</v>
      </c>
      <c r="P199" s="135">
        <f>IF(CQ199="-",IF(E199="-",CX199,IF((E199-F199)&lt;5,CX199,IF(O199&gt;=40,5,IF(O199&gt;=30,4,IF(O199&gt;=20,3,IF(O199&gt;=10,2,1)))))),IF(E199="-",IF((CQ199-CR199)&lt;5,CX199,IF(O199&gt;=40,5,IF(O199&gt;=30,4,IF(O199&gt;=20,3,IF(O199&gt;=10,2,1))))),IF((CQ199+E199-CR199-F199)&lt;5,CX199,IF(O199&gt;=40,5,IF(O199&gt;=30,4,IF(O199&gt;=20,3,IF(O199&gt;=10,2,1)))))))</f>
        <v>2</v>
      </c>
      <c r="Q199" s="121"/>
      <c r="R199" s="265"/>
      <c r="S199" s="263"/>
      <c r="T199" s="268"/>
      <c r="U199" s="265"/>
      <c r="V199" s="263"/>
      <c r="W199" s="268"/>
      <c r="X199" s="265"/>
      <c r="Y199" s="263"/>
      <c r="Z199" s="268"/>
      <c r="AA199" s="265"/>
      <c r="AB199" s="263"/>
      <c r="AC199" s="268"/>
      <c r="AD199" s="265"/>
      <c r="AE199" s="263"/>
      <c r="AF199" s="268"/>
      <c r="AG199" s="265"/>
      <c r="AH199" s="263"/>
      <c r="AI199" s="268"/>
      <c r="AJ199" s="265"/>
      <c r="AK199" s="263"/>
      <c r="AL199" s="268"/>
      <c r="AM199" s="265"/>
      <c r="AN199" s="263"/>
      <c r="AO199" s="268"/>
      <c r="AP199" s="265"/>
      <c r="AQ199" s="263"/>
      <c r="AR199" s="268"/>
      <c r="AS199" s="265"/>
      <c r="AT199" s="263"/>
      <c r="AU199" s="268"/>
      <c r="AV199" s="265"/>
      <c r="AW199" s="263"/>
      <c r="AX199" s="268"/>
      <c r="AY199" s="265"/>
      <c r="AZ199" s="263"/>
      <c r="BA199" s="268"/>
      <c r="BB199" s="265"/>
      <c r="BC199" s="263"/>
      <c r="BD199" s="268"/>
      <c r="BE199" s="265"/>
      <c r="BF199" s="263"/>
      <c r="BG199" s="268"/>
      <c r="BH199" s="265"/>
      <c r="BI199" s="263"/>
      <c r="BJ199" s="268"/>
      <c r="BK199" s="265"/>
      <c r="BL199" s="263"/>
      <c r="BM199" s="268"/>
      <c r="BN199" s="265"/>
      <c r="BO199" s="263"/>
      <c r="BP199" s="268"/>
      <c r="BQ199" s="265"/>
      <c r="BR199" s="263"/>
      <c r="BS199" s="268"/>
      <c r="BT199" s="265"/>
      <c r="BU199" s="263"/>
      <c r="BV199" s="268"/>
      <c r="BW199" s="265"/>
      <c r="BX199" s="263"/>
      <c r="BY199" s="268"/>
      <c r="CE199" s="270"/>
      <c r="CF199" s="269"/>
      <c r="CG199" s="268"/>
      <c r="CH199" s="268"/>
      <c r="CI199" s="269"/>
      <c r="CJ199" s="268"/>
      <c r="CP199" s="153" t="s">
        <v>41</v>
      </c>
      <c r="CQ199" s="153" t="s">
        <v>41</v>
      </c>
      <c r="CR199" s="153" t="s">
        <v>41</v>
      </c>
      <c r="CS199" s="153" t="s">
        <v>41</v>
      </c>
      <c r="CT199" s="258"/>
      <c r="CU199" s="133"/>
      <c r="CV199" s="261" t="str">
        <f t="shared" ref="CV199:CV207" si="94">IF(CQ199="-","-",IF(CQ199-CR199=0,CS199,CS199/(CQ199-CR199)))</f>
        <v>-</v>
      </c>
      <c r="CX199" s="271">
        <v>2</v>
      </c>
      <c r="DO199" s="154"/>
      <c r="EQ199" s="119"/>
      <c r="ER199" s="119"/>
      <c r="ES199" s="119"/>
      <c r="ET199" s="119"/>
      <c r="EU199" s="119"/>
      <c r="EV199" s="119"/>
      <c r="EW199" s="119"/>
      <c r="EX199" s="119"/>
      <c r="EY199" s="119"/>
      <c r="EZ199" s="119"/>
      <c r="FA199" s="119"/>
      <c r="FB199" s="119"/>
      <c r="FC199" s="119"/>
      <c r="FD199" s="119"/>
      <c r="FE199" s="119"/>
    </row>
    <row r="200" spans="2:161" ht="13.5" customHeight="1" x14ac:dyDescent="0.2">
      <c r="B200" s="131" t="s">
        <v>140</v>
      </c>
      <c r="C200" s="257" t="s">
        <v>115</v>
      </c>
      <c r="D200" s="133">
        <f t="shared" si="86"/>
        <v>0</v>
      </c>
      <c r="E200" s="133" t="str">
        <f t="shared" si="87"/>
        <v>-</v>
      </c>
      <c r="F200" s="133" t="str">
        <f t="shared" si="88"/>
        <v>-</v>
      </c>
      <c r="G200" s="133" t="str">
        <f t="shared" si="89"/>
        <v>-</v>
      </c>
      <c r="H200" s="258" t="str">
        <f t="shared" si="90"/>
        <v>-</v>
      </c>
      <c r="I200" s="133"/>
      <c r="J200" s="259" t="str">
        <f t="shared" si="91"/>
        <v>-</v>
      </c>
      <c r="K200" s="133" t="e">
        <f t="shared" si="92"/>
        <v>#VALUE!</v>
      </c>
      <c r="L200" s="121"/>
      <c r="M200" s="260" t="str">
        <f t="shared" si="93"/>
        <v>-</v>
      </c>
      <c r="O200" s="261">
        <f>IF(CQ200="-",IF(E200="-","-",IF(E200-F200=0,G200,G200/(E200-F200))),IF(E200="-",IF(CQ200-CR200=0,"-",CS200/(CQ200-CR200)),(CS200+G200)/IF(CQ200-CR200+E200-F200=0,1,CQ200-CR200+E200-F200)))</f>
        <v>2.3333333333333335</v>
      </c>
      <c r="P200" s="135">
        <f>IF(CQ200="-",IF(E200="-",CX200,IF((E200-F200)&lt;5,CX200,IF(O200&gt;=40,5,IF(O200&gt;=30,4,IF(O200&gt;=20,3,IF(O200&gt;=10,2,1)))))),IF(E200="-",IF((CQ200-CR200)&lt;5,CX200,IF(O200&gt;=40,5,IF(O200&gt;=30,4,IF(O200&gt;=20,3,IF(O200&gt;=10,2,1))))),IF((CQ200+E200-CR200-F200)&lt;5,CX200,IF(O200&gt;=40,5,IF(O200&gt;=30,4,IF(O200&gt;=20,3,IF(O200&gt;=10,2,1)))))))</f>
        <v>2</v>
      </c>
      <c r="R200" s="265"/>
      <c r="S200" s="263"/>
      <c r="T200" s="264"/>
      <c r="U200" s="265"/>
      <c r="V200" s="263"/>
      <c r="W200" s="264"/>
      <c r="X200" s="265"/>
      <c r="Y200" s="263"/>
      <c r="Z200" s="264"/>
      <c r="AA200" s="265"/>
      <c r="AB200" s="263"/>
      <c r="AC200" s="264"/>
      <c r="AD200" s="265"/>
      <c r="AE200" s="263"/>
      <c r="AF200" s="264"/>
      <c r="AG200" s="265"/>
      <c r="AH200" s="263"/>
      <c r="AI200" s="264"/>
      <c r="AJ200" s="265"/>
      <c r="AK200" s="263"/>
      <c r="AL200" s="264"/>
      <c r="AM200" s="265"/>
      <c r="AN200" s="263"/>
      <c r="AO200" s="264"/>
      <c r="AP200" s="265"/>
      <c r="AQ200" s="263"/>
      <c r="AR200" s="264"/>
      <c r="AS200" s="265"/>
      <c r="AT200" s="263"/>
      <c r="AU200" s="264"/>
      <c r="AV200" s="265"/>
      <c r="AW200" s="263"/>
      <c r="AX200" s="264"/>
      <c r="AY200" s="265"/>
      <c r="AZ200" s="263"/>
      <c r="BA200" s="264"/>
      <c r="BB200" s="265"/>
      <c r="BC200" s="263"/>
      <c r="BD200" s="264"/>
      <c r="BE200" s="265"/>
      <c r="BF200" s="263"/>
      <c r="BG200" s="264"/>
      <c r="BH200" s="265"/>
      <c r="BI200" s="263"/>
      <c r="BJ200" s="264"/>
      <c r="BK200" s="265"/>
      <c r="BL200" s="263"/>
      <c r="BM200" s="264"/>
      <c r="BN200" s="265"/>
      <c r="BO200" s="263"/>
      <c r="BP200" s="264"/>
      <c r="BQ200" s="265"/>
      <c r="BR200" s="263"/>
      <c r="BS200" s="264"/>
      <c r="BT200" s="265"/>
      <c r="BU200" s="263"/>
      <c r="BV200" s="264"/>
      <c r="BW200" s="265"/>
      <c r="BX200" s="263"/>
      <c r="BY200" s="264"/>
      <c r="BZ200" s="269"/>
      <c r="CA200" s="270"/>
      <c r="CB200" s="268"/>
      <c r="CC200" s="269"/>
      <c r="CD200" s="270"/>
      <c r="CE200" s="270"/>
      <c r="CF200" s="269"/>
      <c r="CG200" s="268"/>
      <c r="CH200" s="268"/>
      <c r="CI200" s="269"/>
      <c r="CJ200" s="268"/>
      <c r="CP200" s="153">
        <v>4</v>
      </c>
      <c r="CQ200" s="153">
        <v>4</v>
      </c>
      <c r="CR200" s="153">
        <v>1</v>
      </c>
      <c r="CS200" s="153">
        <v>7</v>
      </c>
      <c r="CT200" s="258">
        <v>5</v>
      </c>
      <c r="CU200" s="133"/>
      <c r="CV200" s="134">
        <f t="shared" si="94"/>
        <v>2.3333333333333335</v>
      </c>
      <c r="CW200" s="119" t="s">
        <v>116</v>
      </c>
      <c r="CX200" s="271">
        <v>2</v>
      </c>
      <c r="DO200" s="154"/>
      <c r="EQ200" s="119"/>
      <c r="ER200" s="119"/>
      <c r="ES200" s="119"/>
      <c r="ET200" s="119"/>
      <c r="EU200" s="119"/>
      <c r="EV200" s="119"/>
      <c r="EW200" s="119"/>
      <c r="EX200" s="119"/>
      <c r="EY200" s="119"/>
      <c r="EZ200" s="119"/>
      <c r="FA200" s="119"/>
      <c r="FB200" s="119"/>
      <c r="FC200" s="119"/>
      <c r="FD200" s="119"/>
      <c r="FE200" s="119"/>
    </row>
    <row r="201" spans="2:161" ht="13.5" customHeight="1" x14ac:dyDescent="0.2">
      <c r="B201" s="131" t="s">
        <v>128</v>
      </c>
      <c r="C201" s="257" t="s">
        <v>43</v>
      </c>
      <c r="D201" s="133">
        <f t="shared" si="86"/>
        <v>0</v>
      </c>
      <c r="E201" s="133" t="str">
        <f t="shared" si="87"/>
        <v>-</v>
      </c>
      <c r="F201" s="133" t="str">
        <f t="shared" si="88"/>
        <v>-</v>
      </c>
      <c r="G201" s="133" t="str">
        <f t="shared" si="89"/>
        <v>-</v>
      </c>
      <c r="H201" s="258" t="str">
        <f t="shared" si="90"/>
        <v>-</v>
      </c>
      <c r="I201" s="133"/>
      <c r="J201" s="259" t="str">
        <f t="shared" si="91"/>
        <v>-</v>
      </c>
      <c r="K201" s="133" t="e">
        <f t="shared" si="92"/>
        <v>#VALUE!</v>
      </c>
      <c r="L201" s="121"/>
      <c r="M201" s="260" t="str">
        <f t="shared" si="93"/>
        <v>-</v>
      </c>
      <c r="O201" s="261" t="s">
        <v>41</v>
      </c>
      <c r="P201" s="261" t="s">
        <v>41</v>
      </c>
      <c r="Q201" s="121"/>
      <c r="R201" s="265"/>
      <c r="S201" s="263"/>
      <c r="T201" s="284"/>
      <c r="U201" s="265"/>
      <c r="V201" s="263"/>
      <c r="W201" s="284"/>
      <c r="X201" s="265"/>
      <c r="Y201" s="263"/>
      <c r="Z201" s="284"/>
      <c r="AA201" s="265"/>
      <c r="AB201" s="263"/>
      <c r="AC201" s="284"/>
      <c r="AD201" s="265"/>
      <c r="AE201" s="263"/>
      <c r="AF201" s="284"/>
      <c r="AG201" s="265"/>
      <c r="AH201" s="263"/>
      <c r="AI201" s="284"/>
      <c r="AJ201" s="265"/>
      <c r="AK201" s="263"/>
      <c r="AL201" s="284"/>
      <c r="AM201" s="265"/>
      <c r="AN201" s="263"/>
      <c r="AO201" s="284"/>
      <c r="AP201" s="265"/>
      <c r="AQ201" s="263"/>
      <c r="AR201" s="284"/>
      <c r="AS201" s="265"/>
      <c r="AT201" s="263"/>
      <c r="AU201" s="284"/>
      <c r="AV201" s="265"/>
      <c r="AW201" s="263"/>
      <c r="AX201" s="284"/>
      <c r="AY201" s="265"/>
      <c r="AZ201" s="263"/>
      <c r="BA201" s="284"/>
      <c r="BB201" s="265"/>
      <c r="BC201" s="263"/>
      <c r="BD201" s="284"/>
      <c r="BE201" s="265"/>
      <c r="BF201" s="263"/>
      <c r="BG201" s="284"/>
      <c r="BH201" s="265"/>
      <c r="BI201" s="263"/>
      <c r="BJ201" s="284"/>
      <c r="BK201" s="265"/>
      <c r="BL201" s="263"/>
      <c r="BM201" s="284"/>
      <c r="BN201" s="265"/>
      <c r="BO201" s="263"/>
      <c r="BP201" s="284"/>
      <c r="BQ201" s="265"/>
      <c r="BR201" s="263"/>
      <c r="BS201" s="284"/>
      <c r="BT201" s="265"/>
      <c r="BU201" s="263"/>
      <c r="BV201" s="284"/>
      <c r="BW201" s="265"/>
      <c r="BX201" s="263"/>
      <c r="BY201" s="284"/>
      <c r="CE201" s="270"/>
      <c r="CF201" s="269"/>
      <c r="CG201" s="268"/>
      <c r="CH201" s="268"/>
      <c r="CI201" s="269"/>
      <c r="CJ201" s="268"/>
      <c r="CP201" s="153"/>
      <c r="CQ201" s="153" t="s">
        <v>41</v>
      </c>
      <c r="CR201" s="153" t="s">
        <v>41</v>
      </c>
      <c r="CS201" s="153" t="s">
        <v>41</v>
      </c>
      <c r="CT201" s="258"/>
      <c r="CU201" s="133"/>
      <c r="CV201" s="134" t="str">
        <f t="shared" si="94"/>
        <v>-</v>
      </c>
      <c r="CX201" s="135">
        <v>2</v>
      </c>
      <c r="EQ201" s="119"/>
      <c r="ER201" s="119"/>
      <c r="ES201" s="119"/>
      <c r="ET201" s="119"/>
      <c r="EU201" s="119"/>
      <c r="EV201" s="119"/>
      <c r="EW201" s="119"/>
      <c r="EX201" s="119"/>
      <c r="EY201" s="119"/>
      <c r="EZ201" s="119"/>
      <c r="FA201" s="119"/>
      <c r="FB201" s="119"/>
      <c r="FC201" s="119"/>
      <c r="FD201" s="119"/>
      <c r="FE201" s="119"/>
    </row>
    <row r="202" spans="2:161" ht="13.5" customHeight="1" x14ac:dyDescent="0.2">
      <c r="B202" s="131" t="s">
        <v>147</v>
      </c>
      <c r="C202" s="257" t="s">
        <v>32</v>
      </c>
      <c r="D202" s="133">
        <f t="shared" si="86"/>
        <v>0</v>
      </c>
      <c r="E202" s="133" t="str">
        <f t="shared" si="87"/>
        <v>-</v>
      </c>
      <c r="F202" s="133" t="str">
        <f t="shared" si="88"/>
        <v>-</v>
      </c>
      <c r="G202" s="133" t="str">
        <f t="shared" si="89"/>
        <v>-</v>
      </c>
      <c r="H202" s="258" t="str">
        <f t="shared" si="90"/>
        <v>-</v>
      </c>
      <c r="I202" s="133"/>
      <c r="J202" s="259" t="str">
        <f t="shared" si="91"/>
        <v>-</v>
      </c>
      <c r="K202" s="133" t="e">
        <f t="shared" si="92"/>
        <v>#VALUE!</v>
      </c>
      <c r="L202" s="121"/>
      <c r="M202" s="260" t="str">
        <f t="shared" si="93"/>
        <v>-</v>
      </c>
      <c r="N202" s="144"/>
      <c r="O202" s="261">
        <f>IF(CQ202="-",IF(E202="-","-",IF(E202-F202=0,G202,G202/(E202-F202))),IF(E202="-",IF(CQ202-CR202=0,"-",CS202/(CQ202-CR202)),(CS202+G202)/IF(CQ202-CR202+E202-F202=0,1,CQ202-CR202+E202-F202)))</f>
        <v>83</v>
      </c>
      <c r="P202" s="135">
        <f>IF(CQ202="-",IF(E202="-",CX202,IF((E202-F202)&lt;5,CX202,IF(O202&gt;=40,5,IF(O202&gt;=30,4,IF(O202&gt;=20,3,IF(O202&gt;=10,2,1)))))),IF(E202="-",IF((CQ202-CR202)&lt;5,CX202,IF(O202&gt;=40,5,IF(O202&gt;=30,4,IF(O202&gt;=20,3,IF(O202&gt;=10,2,1))))),IF((CQ202+E202-CR202-F202)&lt;5,CX202,IF(O202&gt;=40,5,IF(O202&gt;=30,4,IF(O202&gt;=20,3,IF(O202&gt;=10,2,1)))))))</f>
        <v>4</v>
      </c>
      <c r="R202" s="265"/>
      <c r="S202" s="263"/>
      <c r="T202" s="289"/>
      <c r="U202" s="265"/>
      <c r="V202" s="263"/>
      <c r="W202" s="289"/>
      <c r="X202" s="265"/>
      <c r="Y202" s="263"/>
      <c r="Z202" s="289"/>
      <c r="AA202" s="265"/>
      <c r="AB202" s="263"/>
      <c r="AC202" s="289"/>
      <c r="AD202" s="265"/>
      <c r="AE202" s="263"/>
      <c r="AF202" s="289"/>
      <c r="AG202" s="265"/>
      <c r="AH202" s="263"/>
      <c r="AI202" s="289"/>
      <c r="AJ202" s="265"/>
      <c r="AK202" s="263"/>
      <c r="AL202" s="289"/>
      <c r="AM202" s="265"/>
      <c r="AN202" s="263"/>
      <c r="AO202" s="289"/>
      <c r="AP202" s="265"/>
      <c r="AQ202" s="263"/>
      <c r="AR202" s="289"/>
      <c r="AS202" s="265"/>
      <c r="AT202" s="263"/>
      <c r="AU202" s="289"/>
      <c r="AV202" s="265"/>
      <c r="AW202" s="263"/>
      <c r="AX202" s="289"/>
      <c r="AY202" s="265"/>
      <c r="AZ202" s="263"/>
      <c r="BA202" s="289"/>
      <c r="BB202" s="265"/>
      <c r="BC202" s="263"/>
      <c r="BD202" s="289"/>
      <c r="BE202" s="265"/>
      <c r="BF202" s="263"/>
      <c r="BG202" s="289"/>
      <c r="BH202" s="265"/>
      <c r="BI202" s="263"/>
      <c r="BJ202" s="289"/>
      <c r="BK202" s="265"/>
      <c r="BL202" s="263"/>
      <c r="BM202" s="289"/>
      <c r="BN202" s="265"/>
      <c r="BO202" s="263"/>
      <c r="BP202" s="289"/>
      <c r="BQ202" s="265"/>
      <c r="BR202" s="263"/>
      <c r="BS202" s="289"/>
      <c r="BT202" s="265"/>
      <c r="BU202" s="263"/>
      <c r="BV202" s="289"/>
      <c r="BW202" s="265"/>
      <c r="BX202" s="263"/>
      <c r="BY202" s="289"/>
      <c r="BZ202" s="269"/>
      <c r="CA202" s="270"/>
      <c r="CB202" s="268"/>
      <c r="CC202" s="269"/>
      <c r="CD202" s="270"/>
      <c r="CE202" s="270"/>
      <c r="CF202" s="269"/>
      <c r="CG202" s="268"/>
      <c r="CH202" s="268"/>
      <c r="CI202" s="269"/>
      <c r="CJ202" s="268"/>
      <c r="CP202" s="153">
        <v>1</v>
      </c>
      <c r="CQ202" s="153">
        <v>1</v>
      </c>
      <c r="CR202" s="153">
        <v>0</v>
      </c>
      <c r="CS202" s="153">
        <v>83</v>
      </c>
      <c r="CT202" s="258">
        <v>83</v>
      </c>
      <c r="CU202" s="133"/>
      <c r="CV202" s="134">
        <f t="shared" si="94"/>
        <v>83</v>
      </c>
      <c r="CX202" s="271">
        <v>4</v>
      </c>
      <c r="DO202" s="154"/>
      <c r="EQ202" s="119"/>
      <c r="ER202" s="119"/>
      <c r="ES202" s="119"/>
      <c r="ET202" s="119"/>
      <c r="EU202" s="119"/>
      <c r="EV202" s="119"/>
      <c r="EW202" s="119"/>
      <c r="EX202" s="119"/>
      <c r="EY202" s="119"/>
      <c r="EZ202" s="119"/>
      <c r="FA202" s="119"/>
      <c r="FB202" s="119"/>
      <c r="FC202" s="119"/>
      <c r="FD202" s="119"/>
      <c r="FE202" s="119"/>
    </row>
    <row r="203" spans="2:161" ht="13.5" customHeight="1" x14ac:dyDescent="0.2">
      <c r="B203" s="131" t="s">
        <v>148</v>
      </c>
      <c r="C203" s="257" t="s">
        <v>32</v>
      </c>
      <c r="D203" s="133">
        <f t="shared" si="86"/>
        <v>0</v>
      </c>
      <c r="E203" s="133" t="str">
        <f t="shared" si="87"/>
        <v>-</v>
      </c>
      <c r="F203" s="133" t="str">
        <f t="shared" si="88"/>
        <v>-</v>
      </c>
      <c r="G203" s="133" t="str">
        <f t="shared" si="89"/>
        <v>-</v>
      </c>
      <c r="H203" s="258" t="str">
        <f t="shared" si="90"/>
        <v>-</v>
      </c>
      <c r="I203" s="133"/>
      <c r="J203" s="259" t="str">
        <f t="shared" si="91"/>
        <v>-</v>
      </c>
      <c r="K203" s="133" t="e">
        <f t="shared" si="92"/>
        <v>#VALUE!</v>
      </c>
      <c r="L203" s="121"/>
      <c r="M203" s="260" t="str">
        <f t="shared" si="93"/>
        <v>-</v>
      </c>
      <c r="N203" s="144"/>
      <c r="O203" s="261">
        <f>IF(CQ203="-",IF(E203="-","-",IF(E203-F203=0,G203,G203/(E203-F203))),IF(E203="-",IF(CQ203-CR203=0,"-",CS203/(CQ203-CR203)),(CS203+G203)/IF(CQ203-CR203+E203-F203=0,1,CQ203-CR203+E203-F203)))</f>
        <v>2.3333333333333335</v>
      </c>
      <c r="P203" s="135">
        <f>IF(CQ203="-",IF(E203="-",CX203,IF((E203-F203)&lt;5,CX203,IF(O203&gt;=40,5,IF(O203&gt;=30,4,IF(O203&gt;=20,3,IF(O203&gt;=10,2,1)))))),IF(E203="-",IF((CQ203-CR203)&lt;5,CX203,IF(O203&gt;=40,5,IF(O203&gt;=30,4,IF(O203&gt;=20,3,IF(O203&gt;=10,2,1))))),IF((CQ203+E203-CR203-F203)&lt;5,CX203,IF(O203&gt;=40,5,IF(O203&gt;=30,4,IF(O203&gt;=20,3,IF(O203&gt;=10,2,1)))))))</f>
        <v>2</v>
      </c>
      <c r="R203" s="265"/>
      <c r="S203" s="263"/>
      <c r="T203" s="289"/>
      <c r="U203" s="265"/>
      <c r="V203" s="263"/>
      <c r="W203" s="289"/>
      <c r="X203" s="265"/>
      <c r="Y203" s="263"/>
      <c r="Z203" s="289"/>
      <c r="AA203" s="265"/>
      <c r="AB203" s="263"/>
      <c r="AC203" s="289"/>
      <c r="AD203" s="265"/>
      <c r="AE203" s="263"/>
      <c r="AF203" s="289"/>
      <c r="AG203" s="265"/>
      <c r="AH203" s="263"/>
      <c r="AI203" s="289"/>
      <c r="AJ203" s="265"/>
      <c r="AK203" s="263"/>
      <c r="AL203" s="289"/>
      <c r="AM203" s="265"/>
      <c r="AN203" s="263"/>
      <c r="AO203" s="289"/>
      <c r="AP203" s="265"/>
      <c r="AQ203" s="263"/>
      <c r="AR203" s="289"/>
      <c r="AS203" s="265"/>
      <c r="AT203" s="263"/>
      <c r="AU203" s="289"/>
      <c r="AV203" s="265"/>
      <c r="AW203" s="263"/>
      <c r="AX203" s="289"/>
      <c r="AY203" s="265"/>
      <c r="AZ203" s="263"/>
      <c r="BA203" s="289"/>
      <c r="BB203" s="265"/>
      <c r="BC203" s="263"/>
      <c r="BD203" s="289"/>
      <c r="BE203" s="265"/>
      <c r="BF203" s="263"/>
      <c r="BG203" s="289"/>
      <c r="BH203" s="265"/>
      <c r="BI203" s="263"/>
      <c r="BJ203" s="289"/>
      <c r="BK203" s="265"/>
      <c r="BL203" s="263"/>
      <c r="BM203" s="289"/>
      <c r="BN203" s="265"/>
      <c r="BO203" s="263"/>
      <c r="BP203" s="289"/>
      <c r="BQ203" s="265"/>
      <c r="BR203" s="263"/>
      <c r="BS203" s="289"/>
      <c r="BT203" s="265"/>
      <c r="BU203" s="263"/>
      <c r="BV203" s="289"/>
      <c r="BW203" s="265"/>
      <c r="BX203" s="263"/>
      <c r="BY203" s="289"/>
      <c r="BZ203" s="269"/>
      <c r="CA203" s="270"/>
      <c r="CB203" s="268"/>
      <c r="CC203" s="269"/>
      <c r="CD203" s="270"/>
      <c r="CE203" s="270"/>
      <c r="CF203" s="269"/>
      <c r="CG203" s="268"/>
      <c r="CH203" s="268"/>
      <c r="CI203" s="269"/>
      <c r="CJ203" s="268"/>
      <c r="CP203" s="153">
        <v>4</v>
      </c>
      <c r="CQ203" s="153">
        <v>4</v>
      </c>
      <c r="CR203" s="153">
        <v>1</v>
      </c>
      <c r="CS203" s="153">
        <v>7</v>
      </c>
      <c r="CT203" s="258">
        <v>5</v>
      </c>
      <c r="CU203" s="133"/>
      <c r="CV203" s="134">
        <f t="shared" si="94"/>
        <v>2.3333333333333335</v>
      </c>
      <c r="CX203" s="271">
        <v>2</v>
      </c>
      <c r="DO203" s="154"/>
      <c r="EQ203" s="119"/>
      <c r="ER203" s="119"/>
      <c r="ES203" s="119"/>
      <c r="ET203" s="119"/>
      <c r="EU203" s="119"/>
      <c r="EV203" s="119"/>
      <c r="EW203" s="119"/>
      <c r="EX203" s="119"/>
      <c r="EY203" s="119"/>
      <c r="EZ203" s="119"/>
      <c r="FA203" s="119"/>
      <c r="FB203" s="119"/>
      <c r="FC203" s="119"/>
      <c r="FD203" s="119"/>
      <c r="FE203" s="119"/>
    </row>
    <row r="204" spans="2:161" ht="13.5" customHeight="1" x14ac:dyDescent="0.2">
      <c r="B204" s="131" t="s">
        <v>122</v>
      </c>
      <c r="C204" s="257" t="s">
        <v>43</v>
      </c>
      <c r="D204" s="133">
        <f t="shared" si="86"/>
        <v>0</v>
      </c>
      <c r="E204" s="133" t="str">
        <f t="shared" si="87"/>
        <v>-</v>
      </c>
      <c r="F204" s="133" t="str">
        <f t="shared" si="88"/>
        <v>-</v>
      </c>
      <c r="G204" s="133" t="str">
        <f t="shared" si="89"/>
        <v>-</v>
      </c>
      <c r="H204" s="258" t="str">
        <f t="shared" si="90"/>
        <v>-</v>
      </c>
      <c r="I204" s="133"/>
      <c r="J204" s="259" t="str">
        <f t="shared" si="91"/>
        <v>-</v>
      </c>
      <c r="K204" s="133" t="e">
        <f t="shared" si="92"/>
        <v>#VALUE!</v>
      </c>
      <c r="L204" s="121"/>
      <c r="M204" s="260" t="str">
        <f t="shared" si="93"/>
        <v>-</v>
      </c>
      <c r="N204" s="144"/>
      <c r="O204" s="261" t="s">
        <v>41</v>
      </c>
      <c r="P204" s="261" t="s">
        <v>41</v>
      </c>
      <c r="Q204" s="121"/>
      <c r="R204" s="265"/>
      <c r="S204" s="263"/>
      <c r="T204" s="290"/>
      <c r="U204" s="265"/>
      <c r="V204" s="263"/>
      <c r="W204" s="290"/>
      <c r="X204" s="265"/>
      <c r="Y204" s="263"/>
      <c r="Z204" s="290"/>
      <c r="AA204" s="265"/>
      <c r="AB204" s="263"/>
      <c r="AC204" s="290"/>
      <c r="AD204" s="265"/>
      <c r="AE204" s="263"/>
      <c r="AF204" s="290"/>
      <c r="AG204" s="265"/>
      <c r="AH204" s="263"/>
      <c r="AI204" s="290"/>
      <c r="AJ204" s="265"/>
      <c r="AK204" s="263"/>
      <c r="AL204" s="290"/>
      <c r="AM204" s="265"/>
      <c r="AN204" s="263"/>
      <c r="AO204" s="290"/>
      <c r="AP204" s="265"/>
      <c r="AQ204" s="263"/>
      <c r="AR204" s="290"/>
      <c r="AS204" s="265"/>
      <c r="AT204" s="263"/>
      <c r="AU204" s="290"/>
      <c r="AV204" s="265"/>
      <c r="AW204" s="263"/>
      <c r="AX204" s="290"/>
      <c r="AY204" s="265"/>
      <c r="AZ204" s="263"/>
      <c r="BA204" s="290"/>
      <c r="BB204" s="265"/>
      <c r="BC204" s="263"/>
      <c r="BD204" s="290"/>
      <c r="BE204" s="265"/>
      <c r="BF204" s="263"/>
      <c r="BG204" s="290"/>
      <c r="BH204" s="265"/>
      <c r="BI204" s="263"/>
      <c r="BJ204" s="290"/>
      <c r="BK204" s="265"/>
      <c r="BL204" s="263"/>
      <c r="BM204" s="290"/>
      <c r="BN204" s="265"/>
      <c r="BO204" s="263"/>
      <c r="BP204" s="290"/>
      <c r="BQ204" s="265"/>
      <c r="BR204" s="263"/>
      <c r="BS204" s="290"/>
      <c r="BT204" s="265"/>
      <c r="BU204" s="263"/>
      <c r="BV204" s="290"/>
      <c r="BW204" s="265"/>
      <c r="BX204" s="263"/>
      <c r="BY204" s="290"/>
      <c r="CE204" s="270"/>
      <c r="CF204" s="269"/>
      <c r="CG204" s="268"/>
      <c r="CH204" s="268"/>
      <c r="CI204" s="269"/>
      <c r="CJ204" s="268"/>
      <c r="CP204" s="153"/>
      <c r="CQ204" s="153">
        <v>24</v>
      </c>
      <c r="CR204" s="153">
        <v>9</v>
      </c>
      <c r="CS204" s="153">
        <v>764</v>
      </c>
      <c r="CT204" s="258"/>
      <c r="CU204" s="133"/>
      <c r="CV204" s="134">
        <f t="shared" si="94"/>
        <v>50.93333333333333</v>
      </c>
      <c r="CX204" s="271">
        <v>5</v>
      </c>
      <c r="DO204" s="154"/>
      <c r="EQ204" s="119"/>
      <c r="ER204" s="119"/>
      <c r="ES204" s="119"/>
      <c r="ET204" s="119"/>
      <c r="EU204" s="119"/>
      <c r="EV204" s="119"/>
      <c r="EW204" s="119"/>
      <c r="EX204" s="119"/>
      <c r="EY204" s="119"/>
      <c r="EZ204" s="119"/>
      <c r="FA204" s="119"/>
      <c r="FB204" s="119"/>
      <c r="FC204" s="119"/>
      <c r="FD204" s="119"/>
      <c r="FE204" s="119"/>
    </row>
    <row r="205" spans="2:161" ht="13.5" customHeight="1" x14ac:dyDescent="0.2">
      <c r="B205" s="131" t="s">
        <v>153</v>
      </c>
      <c r="C205" s="257" t="s">
        <v>115</v>
      </c>
      <c r="D205" s="133">
        <f t="shared" si="86"/>
        <v>0</v>
      </c>
      <c r="E205" s="133" t="str">
        <f t="shared" si="87"/>
        <v>-</v>
      </c>
      <c r="F205" s="133" t="str">
        <f t="shared" si="88"/>
        <v>-</v>
      </c>
      <c r="G205" s="133" t="str">
        <f t="shared" si="89"/>
        <v>-</v>
      </c>
      <c r="H205" s="258" t="str">
        <f t="shared" si="90"/>
        <v>-</v>
      </c>
      <c r="I205" s="133"/>
      <c r="J205" s="259" t="str">
        <f t="shared" si="91"/>
        <v>-</v>
      </c>
      <c r="K205" s="133" t="e">
        <f t="shared" si="92"/>
        <v>#VALUE!</v>
      </c>
      <c r="L205" s="121"/>
      <c r="M205" s="260" t="str">
        <f t="shared" si="93"/>
        <v>-</v>
      </c>
      <c r="O205" s="261">
        <f>IF(CQ205="-",IF(E205="-","-",IF(E205-F205=0,G205,G205/(E205-F205))),IF(E205="-",IF(CQ205-CR205=0,"-",CS205/(CQ205-CR205)),(CS205+G205)/IF(CQ205-CR205+E205-F205=0,1,CQ205-CR205+E205-F205)))</f>
        <v>4.333333333333333</v>
      </c>
      <c r="P205" s="135">
        <f>IF(CQ205="-",IF(E205="-",CX205,IF((E205-F205)&lt;5,CX205,IF(O205&gt;=40,5,IF(O205&gt;=30,4,IF(O205&gt;=20,3,IF(O205&gt;=10,2,1)))))),IF(E205="-",IF((CQ205-CR205)&lt;5,CX205,IF(O205&gt;=40,5,IF(O205&gt;=30,4,IF(O205&gt;=20,3,IF(O205&gt;=10,2,1))))),IF((CQ205+E205-CR205-F205)&lt;5,CX205,IF(O205&gt;=40,5,IF(O205&gt;=30,4,IF(O205&gt;=20,3,IF(O205&gt;=10,2,1)))))))</f>
        <v>2</v>
      </c>
      <c r="R205" s="265"/>
      <c r="S205" s="263"/>
      <c r="T205" s="289"/>
      <c r="U205" s="265"/>
      <c r="V205" s="263"/>
      <c r="W205" s="289"/>
      <c r="X205" s="265"/>
      <c r="Y205" s="263"/>
      <c r="Z205" s="289"/>
      <c r="AA205" s="265"/>
      <c r="AB205" s="263"/>
      <c r="AC205" s="289"/>
      <c r="AD205" s="265"/>
      <c r="AE205" s="263"/>
      <c r="AF205" s="289"/>
      <c r="AG205" s="265"/>
      <c r="AH205" s="263"/>
      <c r="AI205" s="289"/>
      <c r="AJ205" s="265"/>
      <c r="AK205" s="263"/>
      <c r="AL205" s="289"/>
      <c r="AM205" s="265"/>
      <c r="AN205" s="263"/>
      <c r="AO205" s="289"/>
      <c r="AP205" s="265"/>
      <c r="AQ205" s="263"/>
      <c r="AR205" s="289"/>
      <c r="AS205" s="265"/>
      <c r="AT205" s="263"/>
      <c r="AU205" s="289"/>
      <c r="AV205" s="265"/>
      <c r="AW205" s="263"/>
      <c r="AX205" s="289"/>
      <c r="AY205" s="265"/>
      <c r="AZ205" s="263"/>
      <c r="BA205" s="289"/>
      <c r="BB205" s="265"/>
      <c r="BC205" s="263"/>
      <c r="BD205" s="289"/>
      <c r="BE205" s="265"/>
      <c r="BF205" s="263"/>
      <c r="BG205" s="289"/>
      <c r="BH205" s="265"/>
      <c r="BI205" s="263"/>
      <c r="BJ205" s="289"/>
      <c r="BK205" s="265"/>
      <c r="BL205" s="263"/>
      <c r="BM205" s="289"/>
      <c r="BN205" s="265"/>
      <c r="BO205" s="263"/>
      <c r="BP205" s="289"/>
      <c r="BQ205" s="265"/>
      <c r="BR205" s="263"/>
      <c r="BS205" s="289"/>
      <c r="BT205" s="265"/>
      <c r="BU205" s="263"/>
      <c r="BV205" s="289"/>
      <c r="BW205" s="265"/>
      <c r="BX205" s="263"/>
      <c r="BY205" s="289"/>
      <c r="BZ205" s="269"/>
      <c r="CA205" s="270"/>
      <c r="CB205" s="268"/>
      <c r="CC205" s="269"/>
      <c r="CD205" s="270"/>
      <c r="CE205" s="270"/>
      <c r="CF205" s="269"/>
      <c r="CG205" s="268"/>
      <c r="CH205" s="268"/>
      <c r="CI205" s="269"/>
      <c r="CJ205" s="268"/>
      <c r="CP205" s="153">
        <v>4</v>
      </c>
      <c r="CQ205" s="153">
        <v>4</v>
      </c>
      <c r="CR205" s="153">
        <v>1</v>
      </c>
      <c r="CS205" s="153">
        <v>13</v>
      </c>
      <c r="CT205" s="258">
        <v>6</v>
      </c>
      <c r="CU205" s="133"/>
      <c r="CV205" s="134">
        <f t="shared" si="94"/>
        <v>4.333333333333333</v>
      </c>
      <c r="CW205" s="119" t="s">
        <v>116</v>
      </c>
      <c r="CX205" s="271">
        <v>2</v>
      </c>
      <c r="DO205" s="154"/>
      <c r="EQ205" s="119"/>
      <c r="ER205" s="119"/>
      <c r="ES205" s="119"/>
      <c r="ET205" s="119"/>
      <c r="EU205" s="119"/>
      <c r="EV205" s="119"/>
      <c r="EW205" s="119"/>
      <c r="EX205" s="119"/>
      <c r="EY205" s="119"/>
      <c r="EZ205" s="119"/>
      <c r="FA205" s="119"/>
      <c r="FB205" s="119"/>
      <c r="FC205" s="119"/>
      <c r="FD205" s="119"/>
      <c r="FE205" s="119"/>
    </row>
    <row r="206" spans="2:161" ht="13.5" customHeight="1" x14ac:dyDescent="0.2">
      <c r="B206" s="131" t="s">
        <v>144</v>
      </c>
      <c r="C206" s="257" t="s">
        <v>38</v>
      </c>
      <c r="D206" s="133">
        <f t="shared" si="86"/>
        <v>0</v>
      </c>
      <c r="E206" s="133" t="str">
        <f t="shared" si="87"/>
        <v>-</v>
      </c>
      <c r="F206" s="133" t="str">
        <f t="shared" si="88"/>
        <v>-</v>
      </c>
      <c r="G206" s="133" t="str">
        <f t="shared" si="89"/>
        <v>-</v>
      </c>
      <c r="H206" s="258" t="str">
        <f t="shared" si="90"/>
        <v>-</v>
      </c>
      <c r="I206" s="133"/>
      <c r="J206" s="259" t="str">
        <f t="shared" si="91"/>
        <v>-</v>
      </c>
      <c r="K206" s="133" t="e">
        <f t="shared" si="92"/>
        <v>#VALUE!</v>
      </c>
      <c r="L206" s="121"/>
      <c r="M206" s="260" t="str">
        <f t="shared" si="93"/>
        <v>-</v>
      </c>
      <c r="O206" s="261">
        <f>IF(CQ206="-",IF(E206="-","-",IF(E206-F206=0,G206,G206/(E206-F206))),IF(E206="-",IF(CQ206-CR206=0,"-",CS206/(CQ206-CR206)),(CS206+G206)/IF(CQ206-CR206+E206-F206=0,1,CQ206-CR206+E206-F206)))</f>
        <v>10</v>
      </c>
      <c r="P206" s="135">
        <f>IF(CQ206="-",IF(E206="-",CX206,IF((E206-F206)&lt;5,CX206,IF(O206&gt;=40,5,IF(O206&gt;=30,4,IF(O206&gt;=20,3,IF(O206&gt;=10,2,1)))))),IF(E206="-",IF((CQ206-CR206)&lt;5,CX206,IF(O206&gt;=40,5,IF(O206&gt;=30,4,IF(O206&gt;=20,3,IF(O206&gt;=10,2,1))))),IF((CQ206+E206-CR206-F206)&lt;5,CX206,IF(O206&gt;=40,5,IF(O206&gt;=30,4,IF(O206&gt;=20,3,IF(O206&gt;=10,2,1)))))))</f>
        <v>2</v>
      </c>
      <c r="R206" s="265"/>
      <c r="S206" s="263"/>
      <c r="T206" s="289"/>
      <c r="U206" s="265"/>
      <c r="V206" s="263"/>
      <c r="W206" s="289"/>
      <c r="X206" s="265"/>
      <c r="Y206" s="263"/>
      <c r="Z206" s="289"/>
      <c r="AA206" s="265"/>
      <c r="AB206" s="263"/>
      <c r="AC206" s="289"/>
      <c r="AD206" s="265"/>
      <c r="AE206" s="263"/>
      <c r="AF206" s="289"/>
      <c r="AG206" s="265"/>
      <c r="AH206" s="263"/>
      <c r="AI206" s="289"/>
      <c r="AJ206" s="265"/>
      <c r="AK206" s="263"/>
      <c r="AL206" s="289"/>
      <c r="AM206" s="265"/>
      <c r="AN206" s="263"/>
      <c r="AO206" s="289"/>
      <c r="AP206" s="265"/>
      <c r="AQ206" s="263"/>
      <c r="AR206" s="289"/>
      <c r="AS206" s="265"/>
      <c r="AT206" s="263"/>
      <c r="AU206" s="289"/>
      <c r="AV206" s="265"/>
      <c r="AW206" s="263"/>
      <c r="AX206" s="289"/>
      <c r="AY206" s="265"/>
      <c r="AZ206" s="263"/>
      <c r="BA206" s="289"/>
      <c r="BB206" s="265"/>
      <c r="BC206" s="263"/>
      <c r="BD206" s="289"/>
      <c r="BE206" s="265"/>
      <c r="BF206" s="263"/>
      <c r="BG206" s="289"/>
      <c r="BH206" s="265"/>
      <c r="BI206" s="263"/>
      <c r="BJ206" s="289"/>
      <c r="BK206" s="265"/>
      <c r="BL206" s="263"/>
      <c r="BM206" s="289"/>
      <c r="BN206" s="265"/>
      <c r="BO206" s="263"/>
      <c r="BP206" s="289"/>
      <c r="BQ206" s="265"/>
      <c r="BR206" s="263"/>
      <c r="BS206" s="289"/>
      <c r="BT206" s="265"/>
      <c r="BU206" s="263"/>
      <c r="BV206" s="289"/>
      <c r="BW206" s="265"/>
      <c r="BX206" s="263"/>
      <c r="BY206" s="289"/>
      <c r="BZ206" s="269"/>
      <c r="CA206" s="270"/>
      <c r="CB206" s="268"/>
      <c r="CC206" s="269"/>
      <c r="CD206" s="270"/>
      <c r="CE206" s="270"/>
      <c r="CF206" s="269"/>
      <c r="CG206" s="268"/>
      <c r="CH206" s="268"/>
      <c r="CI206" s="269"/>
      <c r="CJ206" s="268"/>
      <c r="CP206" s="153">
        <v>1</v>
      </c>
      <c r="CQ206" s="153">
        <v>1</v>
      </c>
      <c r="CR206" s="153">
        <v>0</v>
      </c>
      <c r="CS206" s="153">
        <v>10</v>
      </c>
      <c r="CT206" s="258">
        <v>10</v>
      </c>
      <c r="CU206" s="133"/>
      <c r="CV206" s="134">
        <f t="shared" si="94"/>
        <v>10</v>
      </c>
      <c r="CX206" s="271">
        <v>2</v>
      </c>
      <c r="DO206" s="154"/>
      <c r="EQ206" s="119"/>
      <c r="ER206" s="119"/>
      <c r="ES206" s="119"/>
      <c r="ET206" s="119"/>
      <c r="EU206" s="119"/>
      <c r="EV206" s="119"/>
      <c r="EW206" s="119"/>
      <c r="EX206" s="119"/>
      <c r="EY206" s="119"/>
      <c r="EZ206" s="119"/>
      <c r="FA206" s="119"/>
      <c r="FB206" s="119"/>
      <c r="FC206" s="119"/>
      <c r="FD206" s="119"/>
      <c r="FE206" s="119"/>
    </row>
    <row r="207" spans="2:161" ht="13.5" customHeight="1" x14ac:dyDescent="0.2">
      <c r="B207" s="131" t="s">
        <v>157</v>
      </c>
      <c r="C207" s="257" t="s">
        <v>32</v>
      </c>
      <c r="D207" s="133">
        <f t="shared" si="86"/>
        <v>0</v>
      </c>
      <c r="E207" s="133" t="str">
        <f t="shared" si="87"/>
        <v>-</v>
      </c>
      <c r="F207" s="133" t="str">
        <f t="shared" si="88"/>
        <v>-</v>
      </c>
      <c r="G207" s="133" t="str">
        <f t="shared" si="89"/>
        <v>-</v>
      </c>
      <c r="H207" s="258" t="str">
        <f t="shared" si="90"/>
        <v>-</v>
      </c>
      <c r="I207" s="133"/>
      <c r="J207" s="259" t="str">
        <f t="shared" si="91"/>
        <v>-</v>
      </c>
      <c r="K207" s="133" t="e">
        <f t="shared" si="92"/>
        <v>#VALUE!</v>
      </c>
      <c r="L207" s="121"/>
      <c r="M207" s="260" t="str">
        <f t="shared" si="93"/>
        <v>-</v>
      </c>
      <c r="O207" s="261">
        <f>IF(CQ207="-",IF(E207="-","-",IF(E207-F207=0,G207,G207/(E207-F207))),IF(E207="-",IF(CQ207-CR207=0,"-",CS207/(CQ207-CR207)),(CS207+G207)/IF(CQ207-CR207+E207-F207=0,1,CQ207-CR207+E207-F207)))</f>
        <v>2</v>
      </c>
      <c r="P207" s="135">
        <f>IF(CQ207="-",IF(E207="-",CX207,IF((E207-F207)&lt;5,CX207,IF(O207&gt;=40,5,IF(O207&gt;=30,4,IF(O207&gt;=20,3,IF(O207&gt;=10,2,1)))))),IF(E207="-",IF((CQ207-CR207)&lt;5,CX207,IF(O207&gt;=40,5,IF(O207&gt;=30,4,IF(O207&gt;=20,3,IF(O207&gt;=10,2,1))))),IF((CQ207+E207-CR207-F207)&lt;5,CX207,IF(O207&gt;=40,5,IF(O207&gt;=30,4,IF(O207&gt;=20,3,IF(O207&gt;=10,2,1)))))))</f>
        <v>1</v>
      </c>
      <c r="R207" s="265"/>
      <c r="S207" s="263"/>
      <c r="T207" s="289"/>
      <c r="U207" s="265"/>
      <c r="V207" s="263"/>
      <c r="W207" s="289"/>
      <c r="X207" s="265"/>
      <c r="Y207" s="263"/>
      <c r="Z207" s="289"/>
      <c r="AA207" s="265"/>
      <c r="AB207" s="263"/>
      <c r="AC207" s="289"/>
      <c r="AD207" s="265"/>
      <c r="AE207" s="263"/>
      <c r="AF207" s="289"/>
      <c r="AG207" s="265"/>
      <c r="AH207" s="263"/>
      <c r="AI207" s="289"/>
      <c r="AJ207" s="265"/>
      <c r="AK207" s="263"/>
      <c r="AL207" s="289"/>
      <c r="AM207" s="265"/>
      <c r="AN207" s="263"/>
      <c r="AO207" s="289"/>
      <c r="AP207" s="265"/>
      <c r="AQ207" s="263"/>
      <c r="AR207" s="289"/>
      <c r="AS207" s="265"/>
      <c r="AT207" s="263"/>
      <c r="AU207" s="289"/>
      <c r="AV207" s="265"/>
      <c r="AW207" s="263"/>
      <c r="AX207" s="289"/>
      <c r="AY207" s="265"/>
      <c r="AZ207" s="263"/>
      <c r="BA207" s="289"/>
      <c r="BB207" s="265"/>
      <c r="BC207" s="263"/>
      <c r="BD207" s="289"/>
      <c r="BE207" s="265"/>
      <c r="BF207" s="263"/>
      <c r="BG207" s="289"/>
      <c r="BH207" s="265"/>
      <c r="BI207" s="263"/>
      <c r="BJ207" s="289"/>
      <c r="BK207" s="265"/>
      <c r="BL207" s="263"/>
      <c r="BM207" s="289"/>
      <c r="BN207" s="265"/>
      <c r="BO207" s="263"/>
      <c r="BP207" s="289"/>
      <c r="BQ207" s="265"/>
      <c r="BR207" s="263"/>
      <c r="BS207" s="289"/>
      <c r="BT207" s="265"/>
      <c r="BU207" s="263"/>
      <c r="BV207" s="289"/>
      <c r="BW207" s="265"/>
      <c r="BX207" s="263"/>
      <c r="BY207" s="289"/>
      <c r="BZ207" s="269"/>
      <c r="CA207" s="270"/>
      <c r="CB207" s="268"/>
      <c r="CC207" s="269"/>
      <c r="CD207" s="270"/>
      <c r="CE207" s="270"/>
      <c r="CF207" s="269"/>
      <c r="CG207" s="268"/>
      <c r="CH207" s="268"/>
      <c r="CI207" s="269"/>
      <c r="CJ207" s="268"/>
      <c r="CP207" s="153">
        <v>1</v>
      </c>
      <c r="CQ207" s="153">
        <v>1</v>
      </c>
      <c r="CR207" s="153">
        <v>0</v>
      </c>
      <c r="CS207" s="153">
        <v>2</v>
      </c>
      <c r="CT207" s="258">
        <v>2</v>
      </c>
      <c r="CU207" s="133"/>
      <c r="CV207" s="134">
        <f t="shared" si="94"/>
        <v>2</v>
      </c>
      <c r="CX207" s="271">
        <v>1</v>
      </c>
      <c r="DO207" s="154"/>
      <c r="EQ207" s="119"/>
      <c r="ER207" s="119"/>
      <c r="ES207" s="119"/>
      <c r="ET207" s="119"/>
      <c r="EU207" s="119"/>
      <c r="EV207" s="119"/>
      <c r="EW207" s="119"/>
      <c r="EX207" s="119"/>
      <c r="EY207" s="119"/>
      <c r="EZ207" s="119"/>
      <c r="FA207" s="119"/>
      <c r="FB207" s="119"/>
      <c r="FC207" s="119"/>
      <c r="FD207" s="119"/>
      <c r="FE207" s="119"/>
    </row>
    <row r="208" spans="2:161" ht="13.5" customHeight="1" x14ac:dyDescent="0.2">
      <c r="B208" s="131" t="s">
        <v>130</v>
      </c>
      <c r="C208" s="257" t="s">
        <v>131</v>
      </c>
      <c r="D208" s="133">
        <f t="shared" si="86"/>
        <v>0</v>
      </c>
      <c r="E208" s="133" t="str">
        <f t="shared" si="87"/>
        <v>-</v>
      </c>
      <c r="F208" s="133" t="str">
        <f t="shared" si="88"/>
        <v>-</v>
      </c>
      <c r="G208" s="133" t="str">
        <f t="shared" si="89"/>
        <v>-</v>
      </c>
      <c r="H208" s="258" t="str">
        <f t="shared" si="90"/>
        <v>-</v>
      </c>
      <c r="I208" s="133"/>
      <c r="J208" s="259" t="str">
        <f t="shared" si="91"/>
        <v>-</v>
      </c>
      <c r="K208" s="133" t="e">
        <f t="shared" si="92"/>
        <v>#VALUE!</v>
      </c>
      <c r="L208" s="121"/>
      <c r="M208" s="260" t="str">
        <f t="shared" si="93"/>
        <v>-</v>
      </c>
      <c r="O208" s="261" t="s">
        <v>41</v>
      </c>
      <c r="P208" s="261" t="s">
        <v>41</v>
      </c>
      <c r="Q208" s="121"/>
      <c r="R208" s="265"/>
      <c r="S208" s="263"/>
      <c r="T208" s="268"/>
      <c r="U208" s="265"/>
      <c r="V208" s="263"/>
      <c r="W208" s="268"/>
      <c r="X208" s="265"/>
      <c r="Y208" s="263"/>
      <c r="Z208" s="268"/>
      <c r="AA208" s="265"/>
      <c r="AB208" s="263"/>
      <c r="AC208" s="268"/>
      <c r="AD208" s="265"/>
      <c r="AE208" s="263"/>
      <c r="AF208" s="268"/>
      <c r="AG208" s="265"/>
      <c r="AH208" s="263"/>
      <c r="AI208" s="268"/>
      <c r="AJ208" s="265"/>
      <c r="AK208" s="263"/>
      <c r="AL208" s="268"/>
      <c r="AM208" s="265"/>
      <c r="AN208" s="263"/>
      <c r="AO208" s="268"/>
      <c r="AP208" s="265"/>
      <c r="AQ208" s="263"/>
      <c r="AR208" s="268"/>
      <c r="AS208" s="265"/>
      <c r="AT208" s="263"/>
      <c r="AU208" s="268"/>
      <c r="AV208" s="265"/>
      <c r="AW208" s="263"/>
      <c r="AX208" s="268"/>
      <c r="AY208" s="265"/>
      <c r="AZ208" s="263"/>
      <c r="BA208" s="268"/>
      <c r="BB208" s="265"/>
      <c r="BC208" s="263"/>
      <c r="BD208" s="268"/>
      <c r="BE208" s="265"/>
      <c r="BF208" s="263"/>
      <c r="BG208" s="268"/>
      <c r="BH208" s="265"/>
      <c r="BI208" s="263"/>
      <c r="BJ208" s="268"/>
      <c r="BK208" s="265"/>
      <c r="BL208" s="263"/>
      <c r="BM208" s="268"/>
      <c r="BN208" s="265"/>
      <c r="BO208" s="263"/>
      <c r="BP208" s="268"/>
      <c r="BQ208" s="265"/>
      <c r="BR208" s="263"/>
      <c r="BS208" s="268"/>
      <c r="BT208" s="265"/>
      <c r="BU208" s="263"/>
      <c r="BV208" s="268"/>
      <c r="BW208" s="265"/>
      <c r="BX208" s="263"/>
      <c r="BY208" s="268"/>
      <c r="CE208" s="270"/>
      <c r="CF208" s="269"/>
      <c r="CG208" s="268"/>
      <c r="CH208" s="268"/>
      <c r="CI208" s="269"/>
      <c r="CJ208" s="268"/>
      <c r="CP208" s="153"/>
      <c r="CQ208" s="153"/>
      <c r="CR208" s="153"/>
      <c r="CS208" s="153"/>
      <c r="CT208" s="258"/>
      <c r="CU208" s="133"/>
      <c r="CV208" s="134"/>
      <c r="CX208" s="271"/>
      <c r="DO208" s="154"/>
      <c r="EQ208" s="119"/>
      <c r="ER208" s="119"/>
      <c r="ES208" s="119"/>
      <c r="ET208" s="119"/>
      <c r="EU208" s="119"/>
      <c r="EV208" s="119"/>
      <c r="EW208" s="119"/>
      <c r="EX208" s="119"/>
      <c r="EY208" s="119"/>
      <c r="EZ208" s="119"/>
      <c r="FA208" s="119"/>
      <c r="FB208" s="119"/>
      <c r="FC208" s="119"/>
      <c r="FD208" s="119"/>
      <c r="FE208" s="119"/>
    </row>
    <row r="209" spans="2:161" ht="13.5" customHeight="1" x14ac:dyDescent="0.2">
      <c r="B209" s="131" t="s">
        <v>121</v>
      </c>
      <c r="C209" s="257" t="s">
        <v>32</v>
      </c>
      <c r="D209" s="133">
        <f t="shared" si="86"/>
        <v>0</v>
      </c>
      <c r="E209" s="133" t="str">
        <f t="shared" si="87"/>
        <v>-</v>
      </c>
      <c r="F209" s="133" t="str">
        <f t="shared" si="88"/>
        <v>-</v>
      </c>
      <c r="G209" s="133" t="str">
        <f t="shared" si="89"/>
        <v>-</v>
      </c>
      <c r="H209" s="258" t="str">
        <f t="shared" si="90"/>
        <v>-</v>
      </c>
      <c r="I209" s="133"/>
      <c r="J209" s="259" t="str">
        <f t="shared" si="91"/>
        <v>-</v>
      </c>
      <c r="K209" s="133" t="e">
        <f t="shared" si="92"/>
        <v>#VALUE!</v>
      </c>
      <c r="L209" s="121"/>
      <c r="M209" s="260" t="str">
        <f t="shared" si="93"/>
        <v>-</v>
      </c>
      <c r="O209" s="261" t="str">
        <f>IF(CQ209="-",IF(E209="-","-",IF(E209-F209=0,G209,G209/(E209-F209))),IF(E209="-",IF(CQ209-CR209=0,"-",CS209/(CQ209-CR209)),(CS209+G209)/IF(CQ209-CR209+E209-F209=0,1,CQ209-CR209+E209-F209)))</f>
        <v>-</v>
      </c>
      <c r="P209" s="135">
        <f>IF(CQ209="-",IF(E209="-",CX209,IF((E209-F209)&lt;5,CX209,IF(O209&gt;=40,5,IF(O209&gt;=30,4,IF(O209&gt;=20,3,IF(O209&gt;=10,2,1)))))),IF(E209="-",IF((CQ209-CR209)&lt;5,CX209,IF(O209&gt;=40,5,IF(O209&gt;=30,4,IF(O209&gt;=20,3,IF(O209&gt;=10,2,1))))),IF((CQ209+E209-CR209-F209)&lt;5,CX209,IF(O209&gt;=40,5,IF(O209&gt;=30,4,IF(O209&gt;=20,3,IF(O209&gt;=10,2,1)))))))</f>
        <v>1</v>
      </c>
      <c r="Q209" s="121"/>
      <c r="R209" s="265"/>
      <c r="S209" s="263"/>
      <c r="T209" s="266"/>
      <c r="U209" s="265"/>
      <c r="V209" s="263"/>
      <c r="W209" s="266"/>
      <c r="X209" s="265"/>
      <c r="Y209" s="263"/>
      <c r="Z209" s="266"/>
      <c r="AA209" s="265"/>
      <c r="AB209" s="263"/>
      <c r="AC209" s="266"/>
      <c r="AD209" s="265"/>
      <c r="AE209" s="263"/>
      <c r="AF209" s="266"/>
      <c r="AG209" s="265"/>
      <c r="AH209" s="263"/>
      <c r="AI209" s="266"/>
      <c r="AJ209" s="265"/>
      <c r="AK209" s="263"/>
      <c r="AL209" s="266"/>
      <c r="AM209" s="265"/>
      <c r="AN209" s="263"/>
      <c r="AO209" s="266"/>
      <c r="AP209" s="265"/>
      <c r="AQ209" s="263"/>
      <c r="AR209" s="266"/>
      <c r="AS209" s="265"/>
      <c r="AT209" s="263"/>
      <c r="AU209" s="266"/>
      <c r="AV209" s="265"/>
      <c r="AW209" s="263"/>
      <c r="AX209" s="266"/>
      <c r="AY209" s="265"/>
      <c r="AZ209" s="263"/>
      <c r="BA209" s="266"/>
      <c r="BB209" s="265"/>
      <c r="BC209" s="263"/>
      <c r="BD209" s="266"/>
      <c r="BE209" s="265"/>
      <c r="BF209" s="263"/>
      <c r="BG209" s="266"/>
      <c r="BH209" s="265"/>
      <c r="BI209" s="263"/>
      <c r="BJ209" s="266"/>
      <c r="BK209" s="265"/>
      <c r="BL209" s="263"/>
      <c r="BM209" s="266"/>
      <c r="BN209" s="265"/>
      <c r="BO209" s="263"/>
      <c r="BP209" s="266"/>
      <c r="BQ209" s="265"/>
      <c r="BR209" s="263"/>
      <c r="BS209" s="266"/>
      <c r="BT209" s="265"/>
      <c r="BU209" s="263"/>
      <c r="BV209" s="266"/>
      <c r="BW209" s="265"/>
      <c r="BX209" s="263"/>
      <c r="BY209" s="266"/>
      <c r="CE209" s="270"/>
      <c r="CF209" s="269"/>
      <c r="CG209" s="268"/>
      <c r="CH209" s="268"/>
      <c r="CI209" s="269"/>
      <c r="CJ209" s="268"/>
      <c r="CP209" s="153" t="s">
        <v>41</v>
      </c>
      <c r="CQ209" s="153" t="s">
        <v>41</v>
      </c>
      <c r="CR209" s="153" t="s">
        <v>41</v>
      </c>
      <c r="CS209" s="153" t="s">
        <v>41</v>
      </c>
      <c r="CT209" s="258"/>
      <c r="CU209" s="133"/>
      <c r="CV209" s="261" t="str">
        <f>IF(CQ209="-","-",IF(CQ209-CR209=0,CS209,CS209/(CQ209-CR209)))</f>
        <v>-</v>
      </c>
      <c r="CX209" s="271">
        <v>1</v>
      </c>
      <c r="EQ209" s="119"/>
      <c r="ER209" s="119"/>
      <c r="ES209" s="119"/>
      <c r="ET209" s="119"/>
      <c r="EU209" s="119"/>
      <c r="EV209" s="119"/>
      <c r="EW209" s="119"/>
      <c r="EX209" s="119"/>
      <c r="EY209" s="119"/>
      <c r="EZ209" s="119"/>
      <c r="FA209" s="119"/>
      <c r="FB209" s="119"/>
      <c r="FC209" s="119"/>
      <c r="FD209" s="119"/>
      <c r="FE209" s="119"/>
    </row>
    <row r="210" spans="2:161" ht="13.5" customHeight="1" x14ac:dyDescent="0.2">
      <c r="B210" s="131" t="s">
        <v>139</v>
      </c>
      <c r="C210" s="257" t="s">
        <v>131</v>
      </c>
      <c r="D210" s="133">
        <f t="shared" si="86"/>
        <v>0</v>
      </c>
      <c r="E210" s="133" t="str">
        <f t="shared" si="87"/>
        <v>-</v>
      </c>
      <c r="F210" s="133" t="str">
        <f t="shared" si="88"/>
        <v>-</v>
      </c>
      <c r="G210" s="133" t="str">
        <f t="shared" si="89"/>
        <v>-</v>
      </c>
      <c r="H210" s="258" t="str">
        <f t="shared" si="90"/>
        <v>-</v>
      </c>
      <c r="I210" s="133"/>
      <c r="J210" s="259" t="str">
        <f t="shared" si="91"/>
        <v>-</v>
      </c>
      <c r="K210" s="133" t="e">
        <f t="shared" si="92"/>
        <v>#VALUE!</v>
      </c>
      <c r="L210" s="121"/>
      <c r="M210" s="260" t="str">
        <f t="shared" si="93"/>
        <v>-</v>
      </c>
      <c r="O210" s="261" t="s">
        <v>41</v>
      </c>
      <c r="P210" s="261" t="s">
        <v>41</v>
      </c>
      <c r="R210" s="265"/>
      <c r="S210" s="263"/>
      <c r="T210" s="268"/>
      <c r="U210" s="265"/>
      <c r="V210" s="263"/>
      <c r="W210" s="268"/>
      <c r="X210" s="265"/>
      <c r="Y210" s="263"/>
      <c r="Z210" s="268"/>
      <c r="AA210" s="265"/>
      <c r="AB210" s="263"/>
      <c r="AC210" s="268"/>
      <c r="AD210" s="265"/>
      <c r="AE210" s="263"/>
      <c r="AF210" s="268"/>
      <c r="AG210" s="265"/>
      <c r="AH210" s="263"/>
      <c r="AI210" s="268"/>
      <c r="AJ210" s="265"/>
      <c r="AK210" s="263"/>
      <c r="AL210" s="268"/>
      <c r="AM210" s="265"/>
      <c r="AN210" s="263"/>
      <c r="AO210" s="268"/>
      <c r="AP210" s="265"/>
      <c r="AQ210" s="263"/>
      <c r="AR210" s="268"/>
      <c r="AS210" s="265"/>
      <c r="AT210" s="263"/>
      <c r="AU210" s="268"/>
      <c r="AV210" s="265"/>
      <c r="AW210" s="263"/>
      <c r="AX210" s="268"/>
      <c r="AY210" s="265"/>
      <c r="AZ210" s="263"/>
      <c r="BA210" s="268"/>
      <c r="BB210" s="265"/>
      <c r="BC210" s="263"/>
      <c r="BD210" s="268"/>
      <c r="BE210" s="265"/>
      <c r="BF210" s="263"/>
      <c r="BG210" s="268"/>
      <c r="BH210" s="265"/>
      <c r="BI210" s="263"/>
      <c r="BJ210" s="268"/>
      <c r="BK210" s="265"/>
      <c r="BL210" s="263"/>
      <c r="BM210" s="268"/>
      <c r="BN210" s="265"/>
      <c r="BO210" s="263"/>
      <c r="BP210" s="268"/>
      <c r="BQ210" s="265"/>
      <c r="BR210" s="263"/>
      <c r="BS210" s="268"/>
      <c r="BT210" s="265"/>
      <c r="BU210" s="263"/>
      <c r="BV210" s="268"/>
      <c r="BW210" s="265"/>
      <c r="BX210" s="263"/>
      <c r="BY210" s="268"/>
      <c r="CE210" s="270"/>
      <c r="CF210" s="269"/>
      <c r="CG210" s="268"/>
      <c r="CH210" s="268"/>
      <c r="CI210" s="269"/>
      <c r="CJ210" s="268"/>
      <c r="CP210" s="153"/>
      <c r="CQ210" s="153"/>
      <c r="CR210" s="153"/>
      <c r="CS210" s="153"/>
      <c r="CT210" s="258"/>
      <c r="CU210" s="133"/>
      <c r="CV210" s="134"/>
      <c r="CX210" s="271"/>
      <c r="DO210" s="154"/>
      <c r="EQ210" s="119"/>
      <c r="ER210" s="119"/>
      <c r="ES210" s="119"/>
      <c r="ET210" s="119"/>
      <c r="EU210" s="119"/>
      <c r="EV210" s="119"/>
      <c r="EW210" s="119"/>
      <c r="EX210" s="119"/>
      <c r="EY210" s="119"/>
      <c r="EZ210" s="119"/>
      <c r="FA210" s="119"/>
      <c r="FB210" s="119"/>
      <c r="FC210" s="119"/>
      <c r="FD210" s="119"/>
      <c r="FE210" s="119"/>
    </row>
    <row r="211" spans="2:161" ht="13.5" customHeight="1" x14ac:dyDescent="0.2">
      <c r="B211" s="131" t="s">
        <v>137</v>
      </c>
      <c r="C211" s="257" t="s">
        <v>32</v>
      </c>
      <c r="D211" s="133">
        <f t="shared" si="86"/>
        <v>0</v>
      </c>
      <c r="E211" s="133" t="str">
        <f t="shared" si="87"/>
        <v>-</v>
      </c>
      <c r="F211" s="133" t="str">
        <f t="shared" si="88"/>
        <v>-</v>
      </c>
      <c r="G211" s="133" t="str">
        <f t="shared" si="89"/>
        <v>-</v>
      </c>
      <c r="H211" s="258" t="str">
        <f t="shared" si="90"/>
        <v>-</v>
      </c>
      <c r="I211" s="133"/>
      <c r="J211" s="259" t="str">
        <f t="shared" si="91"/>
        <v>-</v>
      </c>
      <c r="K211" s="133" t="e">
        <f t="shared" si="92"/>
        <v>#VALUE!</v>
      </c>
      <c r="L211" s="121"/>
      <c r="M211" s="260" t="str">
        <f t="shared" si="93"/>
        <v>-</v>
      </c>
      <c r="O211" s="261" t="s">
        <v>41</v>
      </c>
      <c r="P211" s="135">
        <f>IF(CQ211="-",IF(E211="-",CX211,IF((E211-F211)&lt;5,CX211,IF(O211&gt;=40,5,IF(O211&gt;=30,4,IF(O211&gt;=20,3,IF(O211&gt;=10,2,1)))))),IF(E211="-",IF((CQ211-CR211)&lt;5,CX211,IF(O211&gt;=40,5,IF(O211&gt;=30,4,IF(O211&gt;=20,3,IF(O211&gt;=10,2,1))))),IF((CQ211+E211-CR211-F211)&lt;5,CX211,IF(O211&gt;=40,5,IF(O211&gt;=30,4,IF(O211&gt;=20,3,IF(O211&gt;=10,2,1)))))))</f>
        <v>2</v>
      </c>
      <c r="Q211" s="121"/>
      <c r="R211" s="265"/>
      <c r="S211" s="263"/>
      <c r="T211" s="268"/>
      <c r="U211" s="265"/>
      <c r="V211" s="263"/>
      <c r="W211" s="268"/>
      <c r="X211" s="265"/>
      <c r="Y211" s="263"/>
      <c r="Z211" s="268"/>
      <c r="AA211" s="265"/>
      <c r="AB211" s="263"/>
      <c r="AC211" s="268"/>
      <c r="AD211" s="265"/>
      <c r="AE211" s="263"/>
      <c r="AF211" s="268"/>
      <c r="AG211" s="265"/>
      <c r="AH211" s="263"/>
      <c r="AI211" s="268"/>
      <c r="AJ211" s="265"/>
      <c r="AK211" s="263"/>
      <c r="AL211" s="268"/>
      <c r="AM211" s="265"/>
      <c r="AN211" s="263"/>
      <c r="AO211" s="268"/>
      <c r="AP211" s="265"/>
      <c r="AQ211" s="263"/>
      <c r="AR211" s="268"/>
      <c r="AS211" s="265"/>
      <c r="AT211" s="263"/>
      <c r="AU211" s="268"/>
      <c r="AV211" s="265"/>
      <c r="AW211" s="263"/>
      <c r="AX211" s="268"/>
      <c r="AY211" s="265"/>
      <c r="AZ211" s="263"/>
      <c r="BA211" s="268"/>
      <c r="BB211" s="265"/>
      <c r="BC211" s="263"/>
      <c r="BD211" s="268"/>
      <c r="BE211" s="265"/>
      <c r="BF211" s="263"/>
      <c r="BG211" s="268"/>
      <c r="BH211" s="265"/>
      <c r="BI211" s="263"/>
      <c r="BJ211" s="268"/>
      <c r="BK211" s="265"/>
      <c r="BL211" s="263"/>
      <c r="BM211" s="268"/>
      <c r="BN211" s="265"/>
      <c r="BO211" s="263"/>
      <c r="BP211" s="268"/>
      <c r="BQ211" s="265"/>
      <c r="BR211" s="263"/>
      <c r="BS211" s="268"/>
      <c r="BT211" s="265"/>
      <c r="BU211" s="263"/>
      <c r="BV211" s="268"/>
      <c r="BW211" s="265"/>
      <c r="BX211" s="263"/>
      <c r="BY211" s="268"/>
      <c r="CE211" s="270"/>
      <c r="CF211" s="269"/>
      <c r="CG211" s="268"/>
      <c r="CH211" s="268"/>
      <c r="CI211" s="269"/>
      <c r="CJ211" s="268"/>
      <c r="CP211" s="153"/>
      <c r="CQ211" s="153"/>
      <c r="CR211" s="153"/>
      <c r="CS211" s="153"/>
      <c r="CT211" s="258"/>
      <c r="CU211" s="133"/>
      <c r="CV211" s="134"/>
      <c r="CX211" s="271">
        <v>2</v>
      </c>
      <c r="DO211" s="154"/>
      <c r="EQ211" s="119"/>
      <c r="ER211" s="119"/>
      <c r="ES211" s="119"/>
      <c r="ET211" s="119"/>
      <c r="EU211" s="119"/>
      <c r="EV211" s="119"/>
      <c r="EW211" s="119"/>
      <c r="EX211" s="119"/>
      <c r="EY211" s="119"/>
      <c r="EZ211" s="119"/>
      <c r="FA211" s="119"/>
      <c r="FB211" s="119"/>
      <c r="FC211" s="119"/>
      <c r="FD211" s="119"/>
      <c r="FE211" s="119"/>
    </row>
    <row r="212" spans="2:161" ht="13.5" customHeight="1" x14ac:dyDescent="0.2">
      <c r="B212" s="131" t="s">
        <v>126</v>
      </c>
      <c r="C212" s="257" t="s">
        <v>38</v>
      </c>
      <c r="D212" s="133">
        <f t="shared" si="86"/>
        <v>0</v>
      </c>
      <c r="E212" s="133" t="str">
        <f t="shared" si="87"/>
        <v>-</v>
      </c>
      <c r="F212" s="133" t="str">
        <f t="shared" si="88"/>
        <v>-</v>
      </c>
      <c r="G212" s="133" t="str">
        <f t="shared" si="89"/>
        <v>-</v>
      </c>
      <c r="H212" s="258" t="str">
        <f t="shared" si="90"/>
        <v>-</v>
      </c>
      <c r="I212" s="133"/>
      <c r="J212" s="259" t="str">
        <f t="shared" si="91"/>
        <v>-</v>
      </c>
      <c r="K212" s="133" t="e">
        <f t="shared" si="92"/>
        <v>#VALUE!</v>
      </c>
      <c r="L212" s="121"/>
      <c r="M212" s="260" t="str">
        <f t="shared" si="93"/>
        <v>-</v>
      </c>
      <c r="N212" s="144"/>
      <c r="O212" s="261" t="s">
        <v>41</v>
      </c>
      <c r="P212" s="261" t="s">
        <v>41</v>
      </c>
      <c r="Q212" s="121"/>
      <c r="R212" s="265"/>
      <c r="S212" s="263"/>
      <c r="T212" s="268"/>
      <c r="U212" s="265"/>
      <c r="V212" s="263"/>
      <c r="W212" s="268"/>
      <c r="X212" s="265"/>
      <c r="Y212" s="263"/>
      <c r="Z212" s="268"/>
      <c r="AA212" s="265"/>
      <c r="AB212" s="263"/>
      <c r="AC212" s="268"/>
      <c r="AD212" s="265"/>
      <c r="AE212" s="263"/>
      <c r="AF212" s="268"/>
      <c r="AG212" s="265"/>
      <c r="AH212" s="263"/>
      <c r="AI212" s="268"/>
      <c r="AJ212" s="265"/>
      <c r="AK212" s="263"/>
      <c r="AL212" s="268"/>
      <c r="AM212" s="265"/>
      <c r="AN212" s="263"/>
      <c r="AO212" s="268"/>
      <c r="AP212" s="265"/>
      <c r="AQ212" s="263"/>
      <c r="AR212" s="268"/>
      <c r="AS212" s="265"/>
      <c r="AT212" s="263"/>
      <c r="AU212" s="268"/>
      <c r="AV212" s="265"/>
      <c r="AW212" s="263"/>
      <c r="AX212" s="268"/>
      <c r="AY212" s="265"/>
      <c r="AZ212" s="263"/>
      <c r="BA212" s="268"/>
      <c r="BB212" s="265"/>
      <c r="BC212" s="263"/>
      <c r="BD212" s="268"/>
      <c r="BE212" s="265"/>
      <c r="BF212" s="263"/>
      <c r="BG212" s="268"/>
      <c r="BH212" s="265"/>
      <c r="BI212" s="263"/>
      <c r="BJ212" s="268"/>
      <c r="BK212" s="265"/>
      <c r="BL212" s="263"/>
      <c r="BM212" s="268"/>
      <c r="BN212" s="265"/>
      <c r="BO212" s="263"/>
      <c r="BP212" s="268"/>
      <c r="BQ212" s="265"/>
      <c r="BR212" s="263"/>
      <c r="BS212" s="268"/>
      <c r="BT212" s="265"/>
      <c r="BU212" s="263"/>
      <c r="BV212" s="268"/>
      <c r="BW212" s="265"/>
      <c r="BX212" s="263"/>
      <c r="BY212" s="268"/>
      <c r="CE212" s="270"/>
      <c r="CF212" s="269"/>
      <c r="CG212" s="268"/>
      <c r="CH212" s="268"/>
      <c r="CI212" s="269"/>
      <c r="CJ212" s="268"/>
      <c r="CP212" s="153">
        <v>18</v>
      </c>
      <c r="CQ212" s="153">
        <v>13</v>
      </c>
      <c r="CR212" s="153">
        <v>5</v>
      </c>
      <c r="CS212" s="153">
        <v>183</v>
      </c>
      <c r="CT212" s="258"/>
      <c r="CU212" s="133"/>
      <c r="CV212" s="134">
        <f t="shared" ref="CV212:CV227" si="95">IF(CQ212="-","-",IF(CQ212-CR212=0,CS212,CS212/(CQ212-CR212)))</f>
        <v>22.875</v>
      </c>
      <c r="CX212" s="135">
        <v>3</v>
      </c>
      <c r="DO212" s="154"/>
      <c r="EQ212" s="119"/>
      <c r="ER212" s="119"/>
      <c r="ES212" s="119"/>
      <c r="ET212" s="119"/>
      <c r="EU212" s="119"/>
      <c r="EV212" s="119"/>
      <c r="EW212" s="119"/>
      <c r="EX212" s="119"/>
      <c r="EY212" s="119"/>
      <c r="EZ212" s="119"/>
      <c r="FA212" s="119"/>
      <c r="FB212" s="119"/>
      <c r="FC212" s="119"/>
      <c r="FD212" s="119"/>
      <c r="FE212" s="119"/>
    </row>
    <row r="213" spans="2:161" ht="13.5" customHeight="1" x14ac:dyDescent="0.2">
      <c r="B213" s="131" t="s">
        <v>35</v>
      </c>
      <c r="C213" s="257" t="s">
        <v>34</v>
      </c>
      <c r="D213" s="133">
        <f t="shared" si="86"/>
        <v>0</v>
      </c>
      <c r="E213" s="133" t="str">
        <f t="shared" si="87"/>
        <v>-</v>
      </c>
      <c r="F213" s="133" t="str">
        <f t="shared" si="88"/>
        <v>-</v>
      </c>
      <c r="G213" s="133" t="str">
        <f t="shared" si="89"/>
        <v>-</v>
      </c>
      <c r="H213" s="258" t="str">
        <f t="shared" si="90"/>
        <v>-</v>
      </c>
      <c r="I213" s="133"/>
      <c r="J213" s="259" t="str">
        <f t="shared" si="91"/>
        <v>-</v>
      </c>
      <c r="K213" s="133" t="e">
        <f t="shared" si="92"/>
        <v>#VALUE!</v>
      </c>
      <c r="L213" s="121"/>
      <c r="M213" s="260" t="str">
        <f t="shared" si="93"/>
        <v>-</v>
      </c>
      <c r="O213" s="261">
        <f t="shared" ref="O213:O227" si="96">IF(CQ213="-",IF(E213="-","-",IF(E213-F213=0,G213,G213/(E213-F213))),IF(E213="-",IF(CQ213-CR213=0,"-",CS213/(CQ213-CR213)),(CS213+G213)/IF(CQ213-CR213+E213-F213=0,1,CQ213-CR213+E213-F213)))</f>
        <v>39.191489361702125</v>
      </c>
      <c r="P213" s="135">
        <f>IF(CQ213="-",IF(E213="-",CX213,IF((E213-F213)&lt;5,CX213,IF(O213&gt;=40,5,IF(O213&gt;=30,4,IF(O213&gt;=20,3,IF(O213&gt;=10,2,1)))))),IF(E213="-",IF((CQ213-CR213)&lt;5,CX213,IF(O213&gt;=40,5,IF(O213&gt;=30,4,IF(O213&gt;=20,3,IF(O213&gt;=10,2,1))))),IF((CQ213+E213-CR213-F213)&lt;5,CX213,IF(O213&gt;=40,5,IF(O213&gt;=30,4,IF(O213&gt;=20,3,IF(O213&gt;=10,2,1)))))))</f>
        <v>4</v>
      </c>
      <c r="Q213" s="121"/>
      <c r="R213" s="265"/>
      <c r="S213" s="263"/>
      <c r="T213" s="267"/>
      <c r="U213" s="265"/>
      <c r="V213" s="263"/>
      <c r="W213" s="267"/>
      <c r="X213" s="265"/>
      <c r="Y213" s="263"/>
      <c r="Z213" s="267"/>
      <c r="AA213" s="265"/>
      <c r="AB213" s="263"/>
      <c r="AC213" s="267"/>
      <c r="AD213" s="265"/>
      <c r="AE213" s="263"/>
      <c r="AF213" s="267"/>
      <c r="AG213" s="265"/>
      <c r="AH213" s="263"/>
      <c r="AI213" s="267"/>
      <c r="AJ213" s="265"/>
      <c r="AK213" s="263"/>
      <c r="AL213" s="267"/>
      <c r="AM213" s="265"/>
      <c r="AN213" s="263"/>
      <c r="AO213" s="267"/>
      <c r="AP213" s="265"/>
      <c r="AQ213" s="263"/>
      <c r="AR213" s="267"/>
      <c r="AS213" s="265"/>
      <c r="AT213" s="263"/>
      <c r="AU213" s="267"/>
      <c r="AV213" s="265"/>
      <c r="AW213" s="263"/>
      <c r="AX213" s="267"/>
      <c r="AY213" s="265"/>
      <c r="AZ213" s="263"/>
      <c r="BA213" s="267"/>
      <c r="BB213" s="265"/>
      <c r="BC213" s="263"/>
      <c r="BD213" s="267"/>
      <c r="BE213" s="265"/>
      <c r="BF213" s="263"/>
      <c r="BG213" s="267"/>
      <c r="BH213" s="265"/>
      <c r="BI213" s="263"/>
      <c r="BJ213" s="267"/>
      <c r="BK213" s="265"/>
      <c r="BL213" s="263"/>
      <c r="BM213" s="267"/>
      <c r="BN213" s="265"/>
      <c r="BO213" s="263"/>
      <c r="BP213" s="267"/>
      <c r="BQ213" s="265"/>
      <c r="BR213" s="263"/>
      <c r="BS213" s="267"/>
      <c r="BT213" s="265"/>
      <c r="BU213" s="263"/>
      <c r="BV213" s="267"/>
      <c r="BW213" s="265"/>
      <c r="BX213" s="263"/>
      <c r="BY213" s="267"/>
      <c r="BZ213" s="269"/>
      <c r="CA213" s="270"/>
      <c r="CB213" s="268"/>
      <c r="CC213" s="269"/>
      <c r="CD213" s="270"/>
      <c r="CE213" s="270"/>
      <c r="CF213" s="269"/>
      <c r="CG213" s="268"/>
      <c r="CH213" s="268"/>
      <c r="CI213" s="269"/>
      <c r="CJ213" s="268"/>
      <c r="CP213" s="153">
        <v>58</v>
      </c>
      <c r="CQ213" s="153">
        <v>51</v>
      </c>
      <c r="CR213" s="153">
        <v>4</v>
      </c>
      <c r="CS213" s="153">
        <v>1842</v>
      </c>
      <c r="CT213" s="258">
        <v>131</v>
      </c>
      <c r="CU213" s="133"/>
      <c r="CV213" s="134">
        <f t="shared" si="95"/>
        <v>39.191489361702125</v>
      </c>
      <c r="CW213" s="119" t="s">
        <v>116</v>
      </c>
      <c r="CX213" s="135"/>
      <c r="DO213" s="154"/>
      <c r="EQ213" s="119"/>
      <c r="ER213" s="119"/>
      <c r="ES213" s="119"/>
      <c r="ET213" s="119"/>
      <c r="EU213" s="119"/>
      <c r="EV213" s="119"/>
      <c r="EW213" s="119"/>
      <c r="EX213" s="119"/>
      <c r="EY213" s="119"/>
      <c r="EZ213" s="119"/>
      <c r="FA213" s="119"/>
      <c r="FB213" s="119"/>
      <c r="FC213" s="119"/>
      <c r="FD213" s="119"/>
      <c r="FE213" s="119"/>
    </row>
    <row r="214" spans="2:161" ht="13.5" customHeight="1" x14ac:dyDescent="0.2">
      <c r="B214" s="131" t="s">
        <v>143</v>
      </c>
      <c r="C214" s="257" t="s">
        <v>34</v>
      </c>
      <c r="D214" s="133">
        <f t="shared" si="86"/>
        <v>0</v>
      </c>
      <c r="E214" s="133" t="str">
        <f t="shared" si="87"/>
        <v>-</v>
      </c>
      <c r="F214" s="133" t="str">
        <f t="shared" si="88"/>
        <v>-</v>
      </c>
      <c r="G214" s="133" t="str">
        <f t="shared" si="89"/>
        <v>-</v>
      </c>
      <c r="H214" s="258" t="str">
        <f t="shared" si="90"/>
        <v>-</v>
      </c>
      <c r="I214" s="133"/>
      <c r="J214" s="259" t="str">
        <f t="shared" si="91"/>
        <v>-</v>
      </c>
      <c r="K214" s="133" t="e">
        <f t="shared" si="92"/>
        <v>#VALUE!</v>
      </c>
      <c r="L214" s="121"/>
      <c r="M214" s="260" t="str">
        <f t="shared" si="93"/>
        <v>-</v>
      </c>
      <c r="O214" s="261">
        <f t="shared" si="96"/>
        <v>14.25</v>
      </c>
      <c r="P214" s="135">
        <f>IF(CQ214="-",IF(E214="-",CX214,IF((E214-F214)&lt;5,CX214,IF(O214&gt;=40,5,IF(O214&gt;=30,4,IF(O214&gt;=20,3,IF(O214&gt;=10,2,1)))))),IF(E214="-",IF((CQ214-CR214)&lt;5,CX214,IF(O214&gt;=40,5,IF(O214&gt;=30,4,IF(O214&gt;=20,3,IF(O214&gt;=10,2,1))))),IF((CQ214+E214-CR214-F214)&lt;5,CX214,IF(O214&gt;=40,5,IF(O214&gt;=30,4,IF(O214&gt;=20,3,IF(O214&gt;=10,2,1)))))))</f>
        <v>2</v>
      </c>
      <c r="R214" s="265"/>
      <c r="S214" s="263"/>
      <c r="T214" s="264"/>
      <c r="U214" s="265"/>
      <c r="V214" s="263"/>
      <c r="W214" s="264"/>
      <c r="X214" s="265"/>
      <c r="Y214" s="263"/>
      <c r="Z214" s="264"/>
      <c r="AA214" s="265"/>
      <c r="AB214" s="263"/>
      <c r="AC214" s="264"/>
      <c r="AD214" s="265"/>
      <c r="AE214" s="263"/>
      <c r="AF214" s="264"/>
      <c r="AG214" s="265"/>
      <c r="AH214" s="263"/>
      <c r="AI214" s="264"/>
      <c r="AJ214" s="265"/>
      <c r="AK214" s="263"/>
      <c r="AL214" s="264"/>
      <c r="AM214" s="265"/>
      <c r="AN214" s="263"/>
      <c r="AO214" s="264"/>
      <c r="AP214" s="265"/>
      <c r="AQ214" s="263"/>
      <c r="AR214" s="264"/>
      <c r="AS214" s="265"/>
      <c r="AT214" s="263"/>
      <c r="AU214" s="264"/>
      <c r="AV214" s="265"/>
      <c r="AW214" s="263"/>
      <c r="AX214" s="264"/>
      <c r="AY214" s="265"/>
      <c r="AZ214" s="263"/>
      <c r="BA214" s="264"/>
      <c r="BB214" s="265"/>
      <c r="BC214" s="263"/>
      <c r="BD214" s="264"/>
      <c r="BE214" s="265"/>
      <c r="BF214" s="263"/>
      <c r="BG214" s="264"/>
      <c r="BH214" s="265"/>
      <c r="BI214" s="263"/>
      <c r="BJ214" s="264"/>
      <c r="BK214" s="265"/>
      <c r="BL214" s="263"/>
      <c r="BM214" s="264"/>
      <c r="BN214" s="265"/>
      <c r="BO214" s="263"/>
      <c r="BP214" s="264"/>
      <c r="BQ214" s="265"/>
      <c r="BR214" s="263"/>
      <c r="BS214" s="264"/>
      <c r="BT214" s="265"/>
      <c r="BU214" s="263"/>
      <c r="BV214" s="264"/>
      <c r="BW214" s="265"/>
      <c r="BX214" s="263"/>
      <c r="BY214" s="264"/>
      <c r="BZ214" s="269"/>
      <c r="CA214" s="270"/>
      <c r="CB214" s="268"/>
      <c r="CC214" s="269"/>
      <c r="CD214" s="270"/>
      <c r="CE214" s="270"/>
      <c r="CF214" s="269"/>
      <c r="CG214" s="268"/>
      <c r="CH214" s="268"/>
      <c r="CI214" s="269"/>
      <c r="CJ214" s="268"/>
      <c r="CP214" s="153">
        <v>7</v>
      </c>
      <c r="CQ214" s="153">
        <v>5</v>
      </c>
      <c r="CR214" s="153">
        <v>1</v>
      </c>
      <c r="CS214" s="153">
        <v>57</v>
      </c>
      <c r="CT214" s="258">
        <v>22</v>
      </c>
      <c r="CU214" s="133" t="s">
        <v>117</v>
      </c>
      <c r="CV214" s="134">
        <f t="shared" si="95"/>
        <v>14.25</v>
      </c>
      <c r="CX214" s="271">
        <v>2</v>
      </c>
      <c r="DO214" s="154"/>
      <c r="EQ214" s="119"/>
      <c r="ER214" s="119"/>
      <c r="ES214" s="119"/>
      <c r="ET214" s="119"/>
      <c r="EU214" s="119"/>
      <c r="EV214" s="119"/>
      <c r="EW214" s="119"/>
      <c r="EX214" s="119"/>
      <c r="EY214" s="119"/>
      <c r="EZ214" s="119"/>
      <c r="FA214" s="119"/>
      <c r="FB214" s="119"/>
      <c r="FC214" s="119"/>
      <c r="FD214" s="119"/>
      <c r="FE214" s="119"/>
    </row>
    <row r="215" spans="2:161" ht="13.5" customHeight="1" x14ac:dyDescent="0.2">
      <c r="B215" s="131" t="s">
        <v>168</v>
      </c>
      <c r="C215" s="257" t="s">
        <v>38</v>
      </c>
      <c r="D215" s="133">
        <f>COUNTA(R215,U215,X215,AA215,AD215,AG215,AJ215,AM215,AP215,AS215,AV215,AY215,BB215,BE215,BH215,BK215,BN215,BQ215,BT215,BW215,CC215,CF215,CI215)</f>
        <v>1</v>
      </c>
      <c r="E215" s="133" t="str">
        <f>IF(COUNT(R215,U215,X215,AA215,AD215,AG215,AJ215,AM215,AP215,AS215,AV215,AY215,BB215,BE215,BH215,BK215,BN215,BQ215,BT215,BW215,CC215,CF215,CI215)=0,"-",COUNT(R215,U215,X215,AA215,AD215,AG215,AJ215,AM215,AP215,AS215,AV215,AY215,BB215,BE215,BH215,BK215,BN215,BQ215,BT215,BW215,CC215,CF215,CB))</f>
        <v>-</v>
      </c>
      <c r="F215" s="133" t="str">
        <f>IF(E215="-","-",COUNTA(S215,V215,Y215,AB215,AE215,AH215,AK215,AN215,AQ215,AT215,AW215,AZ215,BC215,BF215,BI215,BL215,BO215,BR215,BU215,BX215,CD215,CG215,CJ215))</f>
        <v>-</v>
      </c>
      <c r="G215" s="133" t="str">
        <f>IF(E215="-","-",SUM(R215:CJ215))</f>
        <v>-</v>
      </c>
      <c r="H215" s="258" t="str">
        <f>IF(E215="-","-",MAX(R215:CK215))</f>
        <v>-</v>
      </c>
      <c r="I215" s="133"/>
      <c r="J215" s="259" t="str">
        <f>IF(E215="-","-",IF(E215-F215=0,G215,G215/(E215-F215)))</f>
        <v>-</v>
      </c>
      <c r="K215" s="133" t="e">
        <f>IF(E215=0,"",IF(E215-F215=0,"*",""))</f>
        <v>#VALUE!</v>
      </c>
      <c r="L215" s="121"/>
      <c r="M215" s="260" t="str">
        <f>IF(E215="-", "-",G215-((E215-F215)*7))</f>
        <v>-</v>
      </c>
      <c r="O215" s="261" t="str">
        <f>IF(CQ215="-",IF(E215="-","-",IF(E215-F215=0,G215,G215/(E215-F215))),IF(E215="-",IF(CQ215-CR215=0,"-",CS215/(CQ215-CR215)),(CS215+G215)/IF(CQ215-CR215+E215-F215=0,1,CQ215-CR215+E215-F215)))</f>
        <v>-</v>
      </c>
      <c r="P215" s="135">
        <f>IF(CQ215="-",IF(E215="-",CX215,IF((E215-F215)&lt;5,CX215,IF(O215&gt;=40,5,IF(O215&gt;=30,4,IF(O215&gt;=20,3,IF(O215&gt;=10,2,1)))))),IF(E215="-",IF((CQ215-CR215)&lt;5,CX215,IF(O215&gt;=40,5,IF(O215&gt;=30,4,IF(O215&gt;=20,3,IF(O215&gt;=10,2,1))))),IF((CQ215+E215-CR215-F215)&lt;5,CX215,IF(O215&gt;=40,5,IF(O215&gt;=30,4,IF(O215&gt;=20,3,IF(O215&gt;=10,2,1)))))))</f>
        <v>4</v>
      </c>
      <c r="Q215" s="121"/>
      <c r="R215" s="262"/>
      <c r="S215" s="263"/>
      <c r="T215" s="266"/>
      <c r="U215" s="262" t="s">
        <v>171</v>
      </c>
      <c r="V215" s="263"/>
      <c r="W215" s="266"/>
      <c r="X215" s="262"/>
      <c r="Y215" s="263"/>
      <c r="Z215" s="266"/>
      <c r="AA215" s="262"/>
      <c r="AB215" s="263"/>
      <c r="AC215" s="266"/>
      <c r="AD215" s="262"/>
      <c r="AE215" s="263"/>
      <c r="AF215" s="266"/>
      <c r="AG215" s="262"/>
      <c r="AH215" s="263"/>
      <c r="AI215" s="266"/>
      <c r="AJ215" s="262"/>
      <c r="AK215" s="263"/>
      <c r="AL215" s="266"/>
      <c r="AM215" s="262"/>
      <c r="AN215" s="263"/>
      <c r="AO215" s="266"/>
      <c r="AP215" s="262"/>
      <c r="AQ215" s="263"/>
      <c r="AR215" s="266"/>
      <c r="AS215" s="262"/>
      <c r="AT215" s="263"/>
      <c r="AU215" s="266"/>
      <c r="AV215" s="262"/>
      <c r="AW215" s="263"/>
      <c r="AX215" s="266"/>
      <c r="AY215" s="262"/>
      <c r="AZ215" s="263"/>
      <c r="BA215" s="266"/>
      <c r="BB215" s="262"/>
      <c r="BC215" s="263"/>
      <c r="BD215" s="266"/>
      <c r="BE215" s="262"/>
      <c r="BF215" s="263"/>
      <c r="BG215" s="266"/>
      <c r="BH215" s="262"/>
      <c r="BI215" s="263"/>
      <c r="BJ215" s="266"/>
      <c r="BK215" s="262"/>
      <c r="BL215" s="263"/>
      <c r="BM215" s="266"/>
      <c r="BN215" s="262"/>
      <c r="BO215" s="263"/>
      <c r="BP215" s="266"/>
      <c r="BQ215" s="262"/>
      <c r="BR215" s="263"/>
      <c r="BS215" s="266"/>
      <c r="BT215" s="262"/>
      <c r="BU215" s="263"/>
      <c r="BV215" s="266"/>
      <c r="BW215" s="262"/>
      <c r="BX215" s="263"/>
      <c r="BY215" s="266"/>
      <c r="BZ215" s="269"/>
      <c r="CA215" s="269"/>
      <c r="CB215" s="269"/>
      <c r="CC215" s="269"/>
      <c r="CD215" s="269"/>
      <c r="CE215" s="269"/>
      <c r="CF215" s="269"/>
      <c r="CG215" s="268"/>
      <c r="CH215" s="268"/>
      <c r="CI215" s="269"/>
      <c r="CJ215" s="268"/>
      <c r="CP215" s="153"/>
      <c r="CQ215" s="153"/>
      <c r="CR215" s="153"/>
      <c r="CS215" s="153"/>
      <c r="CT215" s="258"/>
      <c r="CU215" s="133"/>
      <c r="CV215" s="134"/>
      <c r="CX215" s="271">
        <v>4</v>
      </c>
      <c r="EQ215" s="119"/>
      <c r="ER215" s="119"/>
      <c r="ES215" s="119"/>
      <c r="ET215" s="119"/>
      <c r="EU215" s="119"/>
      <c r="EV215" s="119"/>
      <c r="EW215" s="119"/>
      <c r="EX215" s="119"/>
      <c r="EY215" s="119"/>
      <c r="EZ215" s="119"/>
      <c r="FA215" s="119"/>
      <c r="FB215" s="119"/>
      <c r="FC215" s="119"/>
      <c r="FD215" s="119"/>
      <c r="FE215" s="119"/>
    </row>
    <row r="216" spans="2:161" ht="13.5" customHeight="1" x14ac:dyDescent="0.2">
      <c r="B216" s="131" t="s">
        <v>91</v>
      </c>
      <c r="C216" s="257" t="s">
        <v>32</v>
      </c>
      <c r="D216" s="133">
        <f t="shared" si="86"/>
        <v>0</v>
      </c>
      <c r="E216" s="133" t="str">
        <f t="shared" si="87"/>
        <v>-</v>
      </c>
      <c r="F216" s="133" t="str">
        <f t="shared" si="88"/>
        <v>-</v>
      </c>
      <c r="G216" s="133" t="str">
        <f t="shared" si="89"/>
        <v>-</v>
      </c>
      <c r="H216" s="258" t="str">
        <f t="shared" si="90"/>
        <v>-</v>
      </c>
      <c r="I216" s="133"/>
      <c r="J216" s="259" t="str">
        <f t="shared" si="91"/>
        <v>-</v>
      </c>
      <c r="K216" s="133" t="e">
        <f t="shared" si="92"/>
        <v>#VALUE!</v>
      </c>
      <c r="L216" s="121"/>
      <c r="M216" s="260" t="str">
        <f t="shared" si="93"/>
        <v>-</v>
      </c>
      <c r="O216" s="261">
        <f t="shared" si="96"/>
        <v>1</v>
      </c>
      <c r="P216" s="291">
        <v>4</v>
      </c>
      <c r="R216" s="265"/>
      <c r="S216" s="263"/>
      <c r="T216" s="264"/>
      <c r="U216" s="265"/>
      <c r="V216" s="263"/>
      <c r="W216" s="264"/>
      <c r="X216" s="265"/>
      <c r="Y216" s="263"/>
      <c r="Z216" s="264"/>
      <c r="AA216" s="265"/>
      <c r="AB216" s="263"/>
      <c r="AC216" s="264"/>
      <c r="AD216" s="265"/>
      <c r="AE216" s="263"/>
      <c r="AF216" s="264"/>
      <c r="AG216" s="265"/>
      <c r="AH216" s="263"/>
      <c r="AI216" s="264"/>
      <c r="AJ216" s="265"/>
      <c r="AK216" s="263"/>
      <c r="AL216" s="264"/>
      <c r="AM216" s="265"/>
      <c r="AN216" s="263"/>
      <c r="AO216" s="264"/>
      <c r="AP216" s="265"/>
      <c r="AQ216" s="263"/>
      <c r="AR216" s="264"/>
      <c r="AS216" s="265"/>
      <c r="AT216" s="263"/>
      <c r="AU216" s="264"/>
      <c r="AV216" s="265"/>
      <c r="AW216" s="263"/>
      <c r="AX216" s="264"/>
      <c r="AY216" s="265"/>
      <c r="AZ216" s="263"/>
      <c r="BA216" s="264"/>
      <c r="BB216" s="265"/>
      <c r="BC216" s="263"/>
      <c r="BD216" s="264"/>
      <c r="BE216" s="265"/>
      <c r="BF216" s="263"/>
      <c r="BG216" s="264"/>
      <c r="BH216" s="265"/>
      <c r="BI216" s="263"/>
      <c r="BJ216" s="264"/>
      <c r="BK216" s="265"/>
      <c r="BL216" s="263"/>
      <c r="BM216" s="264"/>
      <c r="BN216" s="265"/>
      <c r="BO216" s="263"/>
      <c r="BP216" s="264"/>
      <c r="BQ216" s="265"/>
      <c r="BR216" s="263"/>
      <c r="BS216" s="264"/>
      <c r="BT216" s="265"/>
      <c r="BU216" s="263"/>
      <c r="BV216" s="264"/>
      <c r="BW216" s="265"/>
      <c r="BX216" s="263"/>
      <c r="BY216" s="264"/>
      <c r="BZ216" s="269"/>
      <c r="CA216" s="270"/>
      <c r="CB216" s="268"/>
      <c r="CC216" s="269"/>
      <c r="CD216" s="270"/>
      <c r="CE216" s="270"/>
      <c r="CF216" s="269"/>
      <c r="CG216" s="268"/>
      <c r="CH216" s="268"/>
      <c r="CI216" s="269"/>
      <c r="CJ216" s="268"/>
      <c r="CP216" s="153">
        <v>1</v>
      </c>
      <c r="CQ216" s="153">
        <v>1</v>
      </c>
      <c r="CR216" s="153">
        <v>0</v>
      </c>
      <c r="CS216" s="153">
        <v>1</v>
      </c>
      <c r="CT216" s="258">
        <v>1</v>
      </c>
      <c r="CU216" s="133"/>
      <c r="CV216" s="134">
        <f t="shared" si="95"/>
        <v>1</v>
      </c>
      <c r="CX216" s="271"/>
      <c r="DO216" s="154"/>
      <c r="EQ216" s="119"/>
      <c r="ER216" s="119"/>
      <c r="ES216" s="119"/>
      <c r="ET216" s="119"/>
      <c r="EU216" s="119"/>
      <c r="EV216" s="119"/>
      <c r="EW216" s="119"/>
      <c r="EX216" s="119"/>
      <c r="EY216" s="119"/>
      <c r="EZ216" s="119"/>
      <c r="FA216" s="119"/>
      <c r="FB216" s="119"/>
      <c r="FC216" s="119"/>
      <c r="FD216" s="119"/>
      <c r="FE216" s="119"/>
    </row>
    <row r="217" spans="2:161" ht="13.5" customHeight="1" x14ac:dyDescent="0.2">
      <c r="B217" s="131" t="s">
        <v>33</v>
      </c>
      <c r="C217" s="257" t="s">
        <v>34</v>
      </c>
      <c r="D217" s="133">
        <f t="shared" si="86"/>
        <v>0</v>
      </c>
      <c r="E217" s="133" t="str">
        <f t="shared" si="87"/>
        <v>-</v>
      </c>
      <c r="F217" s="133" t="str">
        <f t="shared" si="88"/>
        <v>-</v>
      </c>
      <c r="G217" s="133" t="str">
        <f t="shared" si="89"/>
        <v>-</v>
      </c>
      <c r="H217" s="258" t="str">
        <f t="shared" si="90"/>
        <v>-</v>
      </c>
      <c r="I217" s="133"/>
      <c r="J217" s="259" t="str">
        <f t="shared" si="91"/>
        <v>-</v>
      </c>
      <c r="K217" s="133" t="e">
        <f t="shared" si="92"/>
        <v>#VALUE!</v>
      </c>
      <c r="L217" s="121"/>
      <c r="M217" s="260" t="str">
        <f t="shared" si="93"/>
        <v>-</v>
      </c>
      <c r="N217" s="144"/>
      <c r="O217" s="261">
        <f t="shared" si="96"/>
        <v>30.263157894736842</v>
      </c>
      <c r="P217" s="135">
        <f t="shared" ref="P217:P227" si="97">IF(CQ217="-",IF(E217="-",CX217,IF((E217-F217)&lt;5,CX217,IF(O217&gt;=40,5,IF(O217&gt;=30,4,IF(O217&gt;=20,3,IF(O217&gt;=10,2,1)))))),IF(E217="-",IF((CQ217-CR217)&lt;5,CX217,IF(O217&gt;=40,5,IF(O217&gt;=30,4,IF(O217&gt;=20,3,IF(O217&gt;=10,2,1))))),IF((CQ217+E217-CR217-F217)&lt;5,CX217,IF(O217&gt;=40,5,IF(O217&gt;=30,4,IF(O217&gt;=20,3,IF(O217&gt;=10,2,1)))))))</f>
        <v>4</v>
      </c>
      <c r="Q217" s="121"/>
      <c r="R217" s="265"/>
      <c r="S217" s="263"/>
      <c r="T217" s="267"/>
      <c r="U217" s="265"/>
      <c r="V217" s="263"/>
      <c r="W217" s="267"/>
      <c r="X217" s="265"/>
      <c r="Y217" s="263"/>
      <c r="Z217" s="267"/>
      <c r="AA217" s="265"/>
      <c r="AB217" s="263"/>
      <c r="AC217" s="267"/>
      <c r="AD217" s="265"/>
      <c r="AE217" s="263"/>
      <c r="AF217" s="267"/>
      <c r="AG217" s="265"/>
      <c r="AH217" s="263"/>
      <c r="AI217" s="267"/>
      <c r="AJ217" s="265"/>
      <c r="AK217" s="263"/>
      <c r="AL217" s="267"/>
      <c r="AM217" s="265"/>
      <c r="AN217" s="263"/>
      <c r="AO217" s="267"/>
      <c r="AP217" s="265"/>
      <c r="AQ217" s="263"/>
      <c r="AR217" s="267"/>
      <c r="AS217" s="265"/>
      <c r="AT217" s="263"/>
      <c r="AU217" s="267"/>
      <c r="AV217" s="265"/>
      <c r="AW217" s="263"/>
      <c r="AX217" s="267"/>
      <c r="AY217" s="265"/>
      <c r="AZ217" s="263"/>
      <c r="BA217" s="267"/>
      <c r="BB217" s="265"/>
      <c r="BC217" s="263"/>
      <c r="BD217" s="267"/>
      <c r="BE217" s="265"/>
      <c r="BF217" s="263"/>
      <c r="BG217" s="267"/>
      <c r="BH217" s="265"/>
      <c r="BI217" s="263"/>
      <c r="BJ217" s="267"/>
      <c r="BK217" s="265"/>
      <c r="BL217" s="263"/>
      <c r="BM217" s="267"/>
      <c r="BN217" s="265"/>
      <c r="BO217" s="263"/>
      <c r="BP217" s="267"/>
      <c r="BQ217" s="265"/>
      <c r="BR217" s="263"/>
      <c r="BS217" s="267"/>
      <c r="BT217" s="265"/>
      <c r="BU217" s="263"/>
      <c r="BV217" s="267"/>
      <c r="BW217" s="265"/>
      <c r="BX217" s="263"/>
      <c r="BY217" s="267"/>
      <c r="BZ217" s="269"/>
      <c r="CA217" s="270"/>
      <c r="CB217" s="268"/>
      <c r="CC217" s="269"/>
      <c r="CD217" s="270"/>
      <c r="CE217" s="270"/>
      <c r="CF217" s="269"/>
      <c r="CG217" s="268"/>
      <c r="CH217" s="268"/>
      <c r="CI217" s="269"/>
      <c r="CJ217" s="268"/>
      <c r="CP217" s="153">
        <v>27</v>
      </c>
      <c r="CQ217" s="153">
        <v>20</v>
      </c>
      <c r="CR217" s="153">
        <v>1</v>
      </c>
      <c r="CS217" s="153">
        <v>575</v>
      </c>
      <c r="CT217" s="258">
        <v>121</v>
      </c>
      <c r="CU217" s="133"/>
      <c r="CV217" s="134">
        <f t="shared" si="95"/>
        <v>30.263157894736842</v>
      </c>
      <c r="CW217" s="119" t="s">
        <v>116</v>
      </c>
      <c r="CX217" s="135"/>
      <c r="DO217" s="154"/>
      <c r="EQ217" s="119"/>
      <c r="ER217" s="119"/>
      <c r="ES217" s="119"/>
      <c r="ET217" s="119"/>
      <c r="EU217" s="119"/>
      <c r="EV217" s="119"/>
      <c r="EW217" s="119"/>
      <c r="EX217" s="119"/>
      <c r="EY217" s="119"/>
      <c r="EZ217" s="119"/>
      <c r="FA217" s="119"/>
      <c r="FB217" s="119"/>
      <c r="FC217" s="119"/>
      <c r="FD217" s="119"/>
      <c r="FE217" s="119"/>
    </row>
    <row r="218" spans="2:161" ht="13.5" customHeight="1" x14ac:dyDescent="0.2">
      <c r="B218" s="131" t="s">
        <v>56</v>
      </c>
      <c r="C218" s="257" t="s">
        <v>43</v>
      </c>
      <c r="D218" s="133">
        <f t="shared" si="86"/>
        <v>0</v>
      </c>
      <c r="E218" s="133" t="str">
        <f t="shared" si="87"/>
        <v>-</v>
      </c>
      <c r="F218" s="133" t="str">
        <f t="shared" si="88"/>
        <v>-</v>
      </c>
      <c r="G218" s="133" t="str">
        <f t="shared" si="89"/>
        <v>-</v>
      </c>
      <c r="H218" s="258" t="str">
        <f t="shared" si="90"/>
        <v>-</v>
      </c>
      <c r="I218" s="133"/>
      <c r="J218" s="259" t="str">
        <f t="shared" si="91"/>
        <v>-</v>
      </c>
      <c r="K218" s="133" t="e">
        <f t="shared" si="92"/>
        <v>#VALUE!</v>
      </c>
      <c r="L218" s="121"/>
      <c r="M218" s="260" t="str">
        <f t="shared" si="93"/>
        <v>-</v>
      </c>
      <c r="N218" s="144"/>
      <c r="O218" s="261">
        <f t="shared" si="96"/>
        <v>17.387096774193548</v>
      </c>
      <c r="P218" s="135">
        <f t="shared" si="97"/>
        <v>2</v>
      </c>
      <c r="R218" s="265"/>
      <c r="S218" s="263"/>
      <c r="T218" s="264"/>
      <c r="U218" s="265"/>
      <c r="V218" s="263"/>
      <c r="W218" s="264"/>
      <c r="X218" s="265"/>
      <c r="Y218" s="263"/>
      <c r="Z218" s="264"/>
      <c r="AA218" s="265"/>
      <c r="AB218" s="263"/>
      <c r="AC218" s="264"/>
      <c r="AD218" s="265"/>
      <c r="AE218" s="263"/>
      <c r="AF218" s="264"/>
      <c r="AG218" s="265"/>
      <c r="AH218" s="263"/>
      <c r="AI218" s="264"/>
      <c r="AJ218" s="265"/>
      <c r="AK218" s="263"/>
      <c r="AL218" s="264"/>
      <c r="AM218" s="265"/>
      <c r="AN218" s="263"/>
      <c r="AO218" s="264"/>
      <c r="AP218" s="265"/>
      <c r="AQ218" s="263"/>
      <c r="AR218" s="264"/>
      <c r="AS218" s="265"/>
      <c r="AT218" s="263"/>
      <c r="AU218" s="264"/>
      <c r="AV218" s="265"/>
      <c r="AW218" s="263"/>
      <c r="AX218" s="264"/>
      <c r="AY218" s="265"/>
      <c r="AZ218" s="263"/>
      <c r="BA218" s="264"/>
      <c r="BB218" s="265"/>
      <c r="BC218" s="263"/>
      <c r="BD218" s="264"/>
      <c r="BE218" s="265"/>
      <c r="BF218" s="263"/>
      <c r="BG218" s="264"/>
      <c r="BH218" s="265"/>
      <c r="BI218" s="263"/>
      <c r="BJ218" s="264"/>
      <c r="BK218" s="265"/>
      <c r="BL218" s="263"/>
      <c r="BM218" s="264"/>
      <c r="BN218" s="265"/>
      <c r="BO218" s="263"/>
      <c r="BP218" s="264"/>
      <c r="BQ218" s="265"/>
      <c r="BR218" s="263"/>
      <c r="BS218" s="264"/>
      <c r="BT218" s="265"/>
      <c r="BU218" s="263"/>
      <c r="BV218" s="264"/>
      <c r="BW218" s="265"/>
      <c r="BX218" s="263"/>
      <c r="BY218" s="264"/>
      <c r="BZ218" s="269"/>
      <c r="CA218" s="270"/>
      <c r="CB218" s="268"/>
      <c r="CC218" s="269"/>
      <c r="CD218" s="270"/>
      <c r="CE218" s="270"/>
      <c r="CF218" s="269"/>
      <c r="CG218" s="268"/>
      <c r="CH218" s="268"/>
      <c r="CI218" s="269"/>
      <c r="CJ218" s="268"/>
      <c r="CP218" s="153">
        <v>67</v>
      </c>
      <c r="CQ218" s="153">
        <v>43</v>
      </c>
      <c r="CR218" s="153">
        <v>12</v>
      </c>
      <c r="CS218" s="153">
        <v>539</v>
      </c>
      <c r="CT218" s="258">
        <v>73</v>
      </c>
      <c r="CU218" s="133"/>
      <c r="CV218" s="134">
        <f t="shared" si="95"/>
        <v>17.387096774193548</v>
      </c>
      <c r="CW218" s="119" t="s">
        <v>116</v>
      </c>
      <c r="CX218" s="135"/>
      <c r="DO218" s="154"/>
      <c r="EQ218" s="119"/>
      <c r="ER218" s="119"/>
      <c r="ES218" s="119"/>
      <c r="ET218" s="119"/>
      <c r="EU218" s="119"/>
      <c r="EV218" s="119"/>
      <c r="EW218" s="119"/>
      <c r="EX218" s="119"/>
      <c r="EY218" s="119"/>
      <c r="EZ218" s="119"/>
      <c r="FA218" s="119"/>
      <c r="FB218" s="119"/>
      <c r="FC218" s="119"/>
      <c r="FD218" s="119"/>
      <c r="FE218" s="119"/>
    </row>
    <row r="219" spans="2:161" ht="13.5" customHeight="1" x14ac:dyDescent="0.2">
      <c r="B219" s="131" t="s">
        <v>158</v>
      </c>
      <c r="C219" s="257" t="s">
        <v>43</v>
      </c>
      <c r="D219" s="133">
        <f t="shared" si="86"/>
        <v>0</v>
      </c>
      <c r="E219" s="133" t="str">
        <f t="shared" si="87"/>
        <v>-</v>
      </c>
      <c r="F219" s="133" t="str">
        <f t="shared" si="88"/>
        <v>-</v>
      </c>
      <c r="G219" s="133" t="str">
        <f t="shared" si="89"/>
        <v>-</v>
      </c>
      <c r="H219" s="258" t="str">
        <f t="shared" si="90"/>
        <v>-</v>
      </c>
      <c r="I219" s="133"/>
      <c r="J219" s="259" t="str">
        <f t="shared" si="91"/>
        <v>-</v>
      </c>
      <c r="K219" s="133" t="e">
        <f t="shared" si="92"/>
        <v>#VALUE!</v>
      </c>
      <c r="L219" s="121"/>
      <c r="M219" s="260" t="str">
        <f t="shared" si="93"/>
        <v>-</v>
      </c>
      <c r="N219" s="144"/>
      <c r="O219" s="261">
        <f t="shared" si="96"/>
        <v>5</v>
      </c>
      <c r="P219" s="135">
        <f t="shared" si="97"/>
        <v>2</v>
      </c>
      <c r="R219" s="265"/>
      <c r="S219" s="263"/>
      <c r="T219" s="264"/>
      <c r="U219" s="265"/>
      <c r="V219" s="263"/>
      <c r="W219" s="264"/>
      <c r="X219" s="265"/>
      <c r="Y219" s="263"/>
      <c r="Z219" s="264"/>
      <c r="AA219" s="265"/>
      <c r="AB219" s="263"/>
      <c r="AC219" s="264"/>
      <c r="AD219" s="265"/>
      <c r="AE219" s="263"/>
      <c r="AF219" s="264"/>
      <c r="AG219" s="265"/>
      <c r="AH219" s="263"/>
      <c r="AI219" s="264"/>
      <c r="AJ219" s="265"/>
      <c r="AK219" s="263"/>
      <c r="AL219" s="264"/>
      <c r="AM219" s="265"/>
      <c r="AN219" s="263"/>
      <c r="AO219" s="264"/>
      <c r="AP219" s="265"/>
      <c r="AQ219" s="263"/>
      <c r="AR219" s="264"/>
      <c r="AS219" s="265"/>
      <c r="AT219" s="263"/>
      <c r="AU219" s="264"/>
      <c r="AV219" s="265"/>
      <c r="AW219" s="263"/>
      <c r="AX219" s="264"/>
      <c r="AY219" s="265"/>
      <c r="AZ219" s="263"/>
      <c r="BA219" s="264"/>
      <c r="BB219" s="265"/>
      <c r="BC219" s="263"/>
      <c r="BD219" s="264"/>
      <c r="BE219" s="265"/>
      <c r="BF219" s="263"/>
      <c r="BG219" s="264"/>
      <c r="BH219" s="265"/>
      <c r="BI219" s="263"/>
      <c r="BJ219" s="264"/>
      <c r="BK219" s="265"/>
      <c r="BL219" s="263"/>
      <c r="BM219" s="264"/>
      <c r="BN219" s="265"/>
      <c r="BO219" s="263"/>
      <c r="BP219" s="264"/>
      <c r="BQ219" s="265"/>
      <c r="BR219" s="263"/>
      <c r="BS219" s="264"/>
      <c r="BT219" s="265"/>
      <c r="BU219" s="263"/>
      <c r="BV219" s="264"/>
      <c r="BW219" s="265"/>
      <c r="BX219" s="263"/>
      <c r="BY219" s="264"/>
      <c r="BZ219" s="269"/>
      <c r="CA219" s="270"/>
      <c r="CB219" s="268"/>
      <c r="CC219" s="269"/>
      <c r="CD219" s="270"/>
      <c r="CE219" s="270"/>
      <c r="CF219" s="269"/>
      <c r="CG219" s="268"/>
      <c r="CH219" s="268"/>
      <c r="CI219" s="269"/>
      <c r="CJ219" s="268"/>
      <c r="CP219" s="153">
        <v>1</v>
      </c>
      <c r="CQ219" s="153">
        <v>1</v>
      </c>
      <c r="CR219" s="153">
        <v>0</v>
      </c>
      <c r="CS219" s="153">
        <v>5</v>
      </c>
      <c r="CT219" s="258">
        <v>5</v>
      </c>
      <c r="CU219" s="133"/>
      <c r="CV219" s="134">
        <f t="shared" si="95"/>
        <v>5</v>
      </c>
      <c r="CX219" s="271">
        <v>2</v>
      </c>
      <c r="DO219" s="154"/>
      <c r="EQ219" s="119"/>
      <c r="ER219" s="119"/>
      <c r="ES219" s="119"/>
      <c r="ET219" s="119"/>
      <c r="EU219" s="119"/>
      <c r="EV219" s="119"/>
      <c r="EW219" s="119"/>
      <c r="EX219" s="119"/>
      <c r="EY219" s="119"/>
      <c r="EZ219" s="119"/>
      <c r="FA219" s="119"/>
      <c r="FB219" s="119"/>
      <c r="FC219" s="119"/>
      <c r="FD219" s="119"/>
      <c r="FE219" s="119"/>
    </row>
    <row r="220" spans="2:161" ht="13.5" customHeight="1" x14ac:dyDescent="0.2">
      <c r="B220" s="131" t="s">
        <v>155</v>
      </c>
      <c r="C220" s="257" t="s">
        <v>34</v>
      </c>
      <c r="D220" s="133">
        <f t="shared" si="86"/>
        <v>0</v>
      </c>
      <c r="E220" s="133" t="str">
        <f t="shared" si="87"/>
        <v>-</v>
      </c>
      <c r="F220" s="133" t="str">
        <f t="shared" si="88"/>
        <v>-</v>
      </c>
      <c r="G220" s="133" t="str">
        <f t="shared" si="89"/>
        <v>-</v>
      </c>
      <c r="H220" s="258" t="str">
        <f t="shared" si="90"/>
        <v>-</v>
      </c>
      <c r="I220" s="133"/>
      <c r="J220" s="259" t="str">
        <f t="shared" si="91"/>
        <v>-</v>
      </c>
      <c r="K220" s="133" t="e">
        <f t="shared" si="92"/>
        <v>#VALUE!</v>
      </c>
      <c r="L220" s="121"/>
      <c r="M220" s="260" t="str">
        <f t="shared" si="93"/>
        <v>-</v>
      </c>
      <c r="O220" s="261" t="str">
        <f t="shared" si="96"/>
        <v>-</v>
      </c>
      <c r="P220" s="135">
        <f t="shared" si="97"/>
        <v>2</v>
      </c>
      <c r="R220" s="265"/>
      <c r="S220" s="263"/>
      <c r="T220" s="264"/>
      <c r="U220" s="265"/>
      <c r="V220" s="263"/>
      <c r="W220" s="264"/>
      <c r="X220" s="265"/>
      <c r="Y220" s="263"/>
      <c r="Z220" s="264"/>
      <c r="AA220" s="265"/>
      <c r="AB220" s="263"/>
      <c r="AC220" s="264"/>
      <c r="AD220" s="265"/>
      <c r="AE220" s="263"/>
      <c r="AF220" s="264"/>
      <c r="AG220" s="265"/>
      <c r="AH220" s="263"/>
      <c r="AI220" s="264"/>
      <c r="AJ220" s="265"/>
      <c r="AK220" s="263"/>
      <c r="AL220" s="264"/>
      <c r="AM220" s="265"/>
      <c r="AN220" s="263"/>
      <c r="AO220" s="264"/>
      <c r="AP220" s="265"/>
      <c r="AQ220" s="263"/>
      <c r="AR220" s="264"/>
      <c r="AS220" s="265"/>
      <c r="AT220" s="263"/>
      <c r="AU220" s="264"/>
      <c r="AV220" s="265"/>
      <c r="AW220" s="263"/>
      <c r="AX220" s="264"/>
      <c r="AY220" s="265"/>
      <c r="AZ220" s="263"/>
      <c r="BA220" s="264"/>
      <c r="BB220" s="265"/>
      <c r="BC220" s="263"/>
      <c r="BD220" s="264"/>
      <c r="BE220" s="265"/>
      <c r="BF220" s="263"/>
      <c r="BG220" s="264"/>
      <c r="BH220" s="265"/>
      <c r="BI220" s="263"/>
      <c r="BJ220" s="264"/>
      <c r="BK220" s="265"/>
      <c r="BL220" s="263"/>
      <c r="BM220" s="264"/>
      <c r="BN220" s="265"/>
      <c r="BO220" s="263"/>
      <c r="BP220" s="264"/>
      <c r="BQ220" s="265"/>
      <c r="BR220" s="263"/>
      <c r="BS220" s="264"/>
      <c r="BT220" s="265"/>
      <c r="BU220" s="263"/>
      <c r="BV220" s="264"/>
      <c r="BW220" s="265"/>
      <c r="BX220" s="263"/>
      <c r="BY220" s="264"/>
      <c r="BZ220" s="269"/>
      <c r="CA220" s="270"/>
      <c r="CB220" s="268"/>
      <c r="CC220" s="269"/>
      <c r="CD220" s="270"/>
      <c r="CE220" s="270"/>
      <c r="CF220" s="269"/>
      <c r="CG220" s="268"/>
      <c r="CH220" s="268"/>
      <c r="CI220" s="269"/>
      <c r="CJ220" s="268"/>
      <c r="CP220" s="153">
        <v>1</v>
      </c>
      <c r="CQ220" s="153">
        <v>1</v>
      </c>
      <c r="CR220" s="153">
        <v>1</v>
      </c>
      <c r="CS220" s="153">
        <v>6</v>
      </c>
      <c r="CT220" s="258">
        <v>6</v>
      </c>
      <c r="CU220" s="133" t="s">
        <v>117</v>
      </c>
      <c r="CV220" s="134">
        <f t="shared" si="95"/>
        <v>6</v>
      </c>
      <c r="CX220" s="271">
        <v>2</v>
      </c>
      <c r="DO220" s="154"/>
      <c r="EQ220" s="119"/>
      <c r="ER220" s="119"/>
      <c r="ES220" s="119"/>
      <c r="ET220" s="119"/>
      <c r="EU220" s="119"/>
      <c r="EV220" s="119"/>
      <c r="EW220" s="119"/>
      <c r="EX220" s="119"/>
      <c r="EY220" s="119"/>
      <c r="EZ220" s="119"/>
      <c r="FA220" s="119"/>
      <c r="FB220" s="119"/>
      <c r="FC220" s="119"/>
      <c r="FD220" s="119"/>
      <c r="FE220" s="119"/>
    </row>
    <row r="221" spans="2:161" ht="13.5" customHeight="1" x14ac:dyDescent="0.2">
      <c r="B221" s="131" t="s">
        <v>154</v>
      </c>
      <c r="C221" s="257" t="s">
        <v>43</v>
      </c>
      <c r="D221" s="133">
        <f t="shared" si="86"/>
        <v>0</v>
      </c>
      <c r="E221" s="133" t="str">
        <f t="shared" si="87"/>
        <v>-</v>
      </c>
      <c r="F221" s="133" t="str">
        <f t="shared" si="88"/>
        <v>-</v>
      </c>
      <c r="G221" s="133" t="str">
        <f t="shared" si="89"/>
        <v>-</v>
      </c>
      <c r="H221" s="258" t="str">
        <f t="shared" si="90"/>
        <v>-</v>
      </c>
      <c r="I221" s="133"/>
      <c r="J221" s="259" t="str">
        <f t="shared" si="91"/>
        <v>-</v>
      </c>
      <c r="K221" s="133" t="e">
        <f t="shared" si="92"/>
        <v>#VALUE!</v>
      </c>
      <c r="L221" s="121"/>
      <c r="M221" s="260" t="str">
        <f t="shared" si="93"/>
        <v>-</v>
      </c>
      <c r="O221" s="261">
        <f t="shared" si="96"/>
        <v>28</v>
      </c>
      <c r="P221" s="135">
        <f t="shared" si="97"/>
        <v>4</v>
      </c>
      <c r="R221" s="265"/>
      <c r="S221" s="263"/>
      <c r="T221" s="264"/>
      <c r="U221" s="265"/>
      <c r="V221" s="263"/>
      <c r="W221" s="264"/>
      <c r="X221" s="265"/>
      <c r="Y221" s="263"/>
      <c r="Z221" s="264"/>
      <c r="AA221" s="265"/>
      <c r="AB221" s="263"/>
      <c r="AC221" s="264"/>
      <c r="AD221" s="265"/>
      <c r="AE221" s="263"/>
      <c r="AF221" s="264"/>
      <c r="AG221" s="265"/>
      <c r="AH221" s="263"/>
      <c r="AI221" s="264"/>
      <c r="AJ221" s="265"/>
      <c r="AK221" s="263"/>
      <c r="AL221" s="264"/>
      <c r="AM221" s="265"/>
      <c r="AN221" s="263"/>
      <c r="AO221" s="264"/>
      <c r="AP221" s="265"/>
      <c r="AQ221" s="263"/>
      <c r="AR221" s="264"/>
      <c r="AS221" s="265"/>
      <c r="AT221" s="263"/>
      <c r="AU221" s="264"/>
      <c r="AV221" s="265"/>
      <c r="AW221" s="263"/>
      <c r="AX221" s="264"/>
      <c r="AY221" s="265"/>
      <c r="AZ221" s="263"/>
      <c r="BA221" s="264"/>
      <c r="BB221" s="265"/>
      <c r="BC221" s="263"/>
      <c r="BD221" s="264"/>
      <c r="BE221" s="265"/>
      <c r="BF221" s="263"/>
      <c r="BG221" s="264"/>
      <c r="BH221" s="265"/>
      <c r="BI221" s="263"/>
      <c r="BJ221" s="264"/>
      <c r="BK221" s="265"/>
      <c r="BL221" s="263"/>
      <c r="BM221" s="264"/>
      <c r="BN221" s="265"/>
      <c r="BO221" s="263"/>
      <c r="BP221" s="264"/>
      <c r="BQ221" s="265"/>
      <c r="BR221" s="263"/>
      <c r="BS221" s="264"/>
      <c r="BT221" s="265"/>
      <c r="BU221" s="263"/>
      <c r="BV221" s="264"/>
      <c r="BW221" s="265"/>
      <c r="BX221" s="263"/>
      <c r="BY221" s="264"/>
      <c r="BZ221" s="269"/>
      <c r="CA221" s="270"/>
      <c r="CB221" s="268"/>
      <c r="CC221" s="269"/>
      <c r="CD221" s="270"/>
      <c r="CE221" s="270"/>
      <c r="CF221" s="269"/>
      <c r="CG221" s="268"/>
      <c r="CH221" s="268"/>
      <c r="CI221" s="269"/>
      <c r="CJ221" s="268"/>
      <c r="CP221" s="153">
        <v>2</v>
      </c>
      <c r="CQ221" s="153">
        <v>2</v>
      </c>
      <c r="CR221" s="153">
        <v>0</v>
      </c>
      <c r="CS221" s="153">
        <v>56</v>
      </c>
      <c r="CT221" s="258">
        <v>31</v>
      </c>
      <c r="CU221" s="133"/>
      <c r="CV221" s="134">
        <f t="shared" si="95"/>
        <v>28</v>
      </c>
      <c r="CX221" s="271">
        <v>4</v>
      </c>
      <c r="DO221" s="154"/>
      <c r="EQ221" s="119"/>
      <c r="ER221" s="119"/>
      <c r="ES221" s="119"/>
      <c r="ET221" s="119"/>
      <c r="EU221" s="119"/>
      <c r="EV221" s="119"/>
      <c r="EW221" s="119"/>
      <c r="EX221" s="119"/>
      <c r="EY221" s="119"/>
      <c r="EZ221" s="119"/>
      <c r="FA221" s="119"/>
      <c r="FB221" s="119"/>
      <c r="FC221" s="119"/>
      <c r="FD221" s="119"/>
      <c r="FE221" s="119"/>
    </row>
    <row r="222" spans="2:161" ht="13.5" customHeight="1" x14ac:dyDescent="0.2">
      <c r="B222" s="131" t="s">
        <v>142</v>
      </c>
      <c r="C222" s="257" t="s">
        <v>34</v>
      </c>
      <c r="D222" s="133">
        <f t="shared" si="86"/>
        <v>0</v>
      </c>
      <c r="E222" s="133" t="str">
        <f t="shared" si="87"/>
        <v>-</v>
      </c>
      <c r="F222" s="133" t="str">
        <f t="shared" si="88"/>
        <v>-</v>
      </c>
      <c r="G222" s="133" t="str">
        <f t="shared" si="89"/>
        <v>-</v>
      </c>
      <c r="H222" s="258" t="str">
        <f t="shared" si="90"/>
        <v>-</v>
      </c>
      <c r="I222" s="133"/>
      <c r="J222" s="259" t="str">
        <f t="shared" si="91"/>
        <v>-</v>
      </c>
      <c r="K222" s="133" t="e">
        <f t="shared" si="92"/>
        <v>#VALUE!</v>
      </c>
      <c r="L222" s="121"/>
      <c r="M222" s="260" t="str">
        <f t="shared" si="93"/>
        <v>-</v>
      </c>
      <c r="N222" s="144"/>
      <c r="O222" s="261">
        <f t="shared" si="96"/>
        <v>11</v>
      </c>
      <c r="P222" s="135">
        <f t="shared" si="97"/>
        <v>2</v>
      </c>
      <c r="R222" s="265"/>
      <c r="S222" s="263"/>
      <c r="T222" s="264"/>
      <c r="U222" s="265"/>
      <c r="V222" s="263"/>
      <c r="W222" s="264"/>
      <c r="X222" s="265"/>
      <c r="Y222" s="263"/>
      <c r="Z222" s="264"/>
      <c r="AA222" s="265"/>
      <c r="AB222" s="263"/>
      <c r="AC222" s="264"/>
      <c r="AD222" s="265"/>
      <c r="AE222" s="263"/>
      <c r="AF222" s="264"/>
      <c r="AG222" s="265"/>
      <c r="AH222" s="263"/>
      <c r="AI222" s="264"/>
      <c r="AJ222" s="265"/>
      <c r="AK222" s="263"/>
      <c r="AL222" s="264"/>
      <c r="AM222" s="265"/>
      <c r="AN222" s="263"/>
      <c r="AO222" s="264"/>
      <c r="AP222" s="265"/>
      <c r="AQ222" s="263"/>
      <c r="AR222" s="264"/>
      <c r="AS222" s="265"/>
      <c r="AT222" s="263"/>
      <c r="AU222" s="264"/>
      <c r="AV222" s="265"/>
      <c r="AW222" s="263"/>
      <c r="AX222" s="264"/>
      <c r="AY222" s="265"/>
      <c r="AZ222" s="263"/>
      <c r="BA222" s="264"/>
      <c r="BB222" s="265"/>
      <c r="BC222" s="263"/>
      <c r="BD222" s="264"/>
      <c r="BE222" s="265"/>
      <c r="BF222" s="263"/>
      <c r="BG222" s="264"/>
      <c r="BH222" s="265"/>
      <c r="BI222" s="263"/>
      <c r="BJ222" s="264"/>
      <c r="BK222" s="265"/>
      <c r="BL222" s="263"/>
      <c r="BM222" s="264"/>
      <c r="BN222" s="265"/>
      <c r="BO222" s="263"/>
      <c r="BP222" s="264"/>
      <c r="BQ222" s="265"/>
      <c r="BR222" s="263"/>
      <c r="BS222" s="264"/>
      <c r="BT222" s="265"/>
      <c r="BU222" s="263"/>
      <c r="BV222" s="264"/>
      <c r="BW222" s="265"/>
      <c r="BX222" s="263"/>
      <c r="BY222" s="264"/>
      <c r="BZ222" s="269"/>
      <c r="CA222" s="270"/>
      <c r="CB222" s="268"/>
      <c r="CC222" s="269"/>
      <c r="CD222" s="270"/>
      <c r="CE222" s="270"/>
      <c r="CF222" s="269"/>
      <c r="CG222" s="268"/>
      <c r="CH222" s="268"/>
      <c r="CI222" s="269"/>
      <c r="CJ222" s="268"/>
      <c r="CP222" s="153">
        <v>1</v>
      </c>
      <c r="CQ222" s="153">
        <v>1</v>
      </c>
      <c r="CR222" s="153">
        <v>0</v>
      </c>
      <c r="CS222" s="153">
        <v>11</v>
      </c>
      <c r="CT222" s="258">
        <v>11</v>
      </c>
      <c r="CU222" s="133"/>
      <c r="CV222" s="134">
        <f t="shared" si="95"/>
        <v>11</v>
      </c>
      <c r="CX222" s="271">
        <v>2</v>
      </c>
      <c r="DO222" s="154"/>
      <c r="EQ222" s="119"/>
      <c r="ER222" s="119"/>
      <c r="ES222" s="119"/>
      <c r="ET222" s="119"/>
      <c r="EU222" s="119"/>
      <c r="EV222" s="119"/>
      <c r="EW222" s="119"/>
      <c r="EX222" s="119"/>
      <c r="EY222" s="119"/>
      <c r="EZ222" s="119"/>
      <c r="FA222" s="119"/>
      <c r="FB222" s="119"/>
      <c r="FC222" s="119"/>
      <c r="FD222" s="119"/>
      <c r="FE222" s="119"/>
    </row>
    <row r="223" spans="2:161" ht="13.5" customHeight="1" x14ac:dyDescent="0.2">
      <c r="B223" s="131" t="s">
        <v>39</v>
      </c>
      <c r="C223" s="257" t="s">
        <v>32</v>
      </c>
      <c r="D223" s="133">
        <f t="shared" si="86"/>
        <v>0</v>
      </c>
      <c r="E223" s="133" t="str">
        <f t="shared" si="87"/>
        <v>-</v>
      </c>
      <c r="F223" s="133" t="str">
        <f t="shared" si="88"/>
        <v>-</v>
      </c>
      <c r="G223" s="133" t="str">
        <f t="shared" si="89"/>
        <v>-</v>
      </c>
      <c r="H223" s="258" t="str">
        <f t="shared" si="90"/>
        <v>-</v>
      </c>
      <c r="I223" s="133"/>
      <c r="J223" s="259" t="str">
        <f t="shared" si="91"/>
        <v>-</v>
      </c>
      <c r="K223" s="133" t="e">
        <f t="shared" si="92"/>
        <v>#VALUE!</v>
      </c>
      <c r="L223" s="121"/>
      <c r="M223" s="260" t="str">
        <f t="shared" si="93"/>
        <v>-</v>
      </c>
      <c r="O223" s="261">
        <f t="shared" si="96"/>
        <v>20.954545454545453</v>
      </c>
      <c r="P223" s="135">
        <f t="shared" si="97"/>
        <v>3</v>
      </c>
      <c r="Q223" s="121"/>
      <c r="R223" s="265"/>
      <c r="S223" s="263"/>
      <c r="T223" s="264"/>
      <c r="U223" s="265"/>
      <c r="V223" s="263"/>
      <c r="W223" s="264"/>
      <c r="X223" s="265"/>
      <c r="Y223" s="263"/>
      <c r="Z223" s="264"/>
      <c r="AA223" s="265"/>
      <c r="AB223" s="263"/>
      <c r="AC223" s="264"/>
      <c r="AD223" s="265"/>
      <c r="AE223" s="263"/>
      <c r="AF223" s="264"/>
      <c r="AG223" s="265"/>
      <c r="AH223" s="263"/>
      <c r="AI223" s="264"/>
      <c r="AJ223" s="265"/>
      <c r="AK223" s="263"/>
      <c r="AL223" s="264"/>
      <c r="AM223" s="265"/>
      <c r="AN223" s="263"/>
      <c r="AO223" s="264"/>
      <c r="AP223" s="265"/>
      <c r="AQ223" s="263"/>
      <c r="AR223" s="264"/>
      <c r="AS223" s="265"/>
      <c r="AT223" s="263"/>
      <c r="AU223" s="264"/>
      <c r="AV223" s="265"/>
      <c r="AW223" s="263"/>
      <c r="AX223" s="264"/>
      <c r="AY223" s="265"/>
      <c r="AZ223" s="263"/>
      <c r="BA223" s="264"/>
      <c r="BB223" s="265"/>
      <c r="BC223" s="263"/>
      <c r="BD223" s="264"/>
      <c r="BE223" s="265"/>
      <c r="BF223" s="263"/>
      <c r="BG223" s="264"/>
      <c r="BH223" s="265"/>
      <c r="BI223" s="263"/>
      <c r="BJ223" s="264"/>
      <c r="BK223" s="265"/>
      <c r="BL223" s="263"/>
      <c r="BM223" s="264"/>
      <c r="BN223" s="265"/>
      <c r="BO223" s="263"/>
      <c r="BP223" s="264"/>
      <c r="BQ223" s="265"/>
      <c r="BR223" s="263"/>
      <c r="BS223" s="264"/>
      <c r="BT223" s="265"/>
      <c r="BU223" s="263"/>
      <c r="BV223" s="264"/>
      <c r="BW223" s="265"/>
      <c r="BX223" s="263"/>
      <c r="BY223" s="264"/>
      <c r="BZ223" s="269"/>
      <c r="CA223" s="270"/>
      <c r="CB223" s="268"/>
      <c r="CC223" s="269"/>
      <c r="CD223" s="270"/>
      <c r="CE223" s="270"/>
      <c r="CF223" s="269"/>
      <c r="CG223" s="268"/>
      <c r="CH223" s="268"/>
      <c r="CI223" s="269"/>
      <c r="CJ223" s="268"/>
      <c r="CP223" s="153">
        <v>27</v>
      </c>
      <c r="CQ223" s="153">
        <v>24</v>
      </c>
      <c r="CR223" s="153">
        <v>2</v>
      </c>
      <c r="CS223" s="153">
        <v>461</v>
      </c>
      <c r="CT223" s="258">
        <v>72</v>
      </c>
      <c r="CU223" s="133" t="s">
        <v>117</v>
      </c>
      <c r="CV223" s="134">
        <f t="shared" si="95"/>
        <v>20.954545454545453</v>
      </c>
      <c r="CW223" s="119" t="s">
        <v>116</v>
      </c>
      <c r="CX223" s="135"/>
      <c r="DO223" s="154"/>
      <c r="EQ223" s="119"/>
      <c r="ER223" s="119"/>
      <c r="ES223" s="119"/>
      <c r="ET223" s="119"/>
      <c r="EU223" s="119"/>
      <c r="EV223" s="119"/>
      <c r="EW223" s="119"/>
      <c r="EX223" s="119"/>
      <c r="EY223" s="119"/>
      <c r="EZ223" s="119"/>
      <c r="FA223" s="119"/>
      <c r="FB223" s="119"/>
      <c r="FC223" s="119"/>
      <c r="FD223" s="119"/>
      <c r="FE223" s="119"/>
    </row>
    <row r="224" spans="2:161" ht="13.5" customHeight="1" x14ac:dyDescent="0.2">
      <c r="B224" s="131" t="s">
        <v>152</v>
      </c>
      <c r="C224" s="257" t="s">
        <v>34</v>
      </c>
      <c r="D224" s="133">
        <f t="shared" si="86"/>
        <v>0</v>
      </c>
      <c r="E224" s="133" t="str">
        <f t="shared" si="87"/>
        <v>-</v>
      </c>
      <c r="F224" s="133" t="str">
        <f t="shared" si="88"/>
        <v>-</v>
      </c>
      <c r="G224" s="133" t="str">
        <f t="shared" si="89"/>
        <v>-</v>
      </c>
      <c r="H224" s="258" t="str">
        <f t="shared" si="90"/>
        <v>-</v>
      </c>
      <c r="I224" s="133"/>
      <c r="J224" s="259" t="str">
        <f t="shared" si="91"/>
        <v>-</v>
      </c>
      <c r="K224" s="133" t="e">
        <f t="shared" si="92"/>
        <v>#VALUE!</v>
      </c>
      <c r="L224" s="121"/>
      <c r="M224" s="260" t="str">
        <f t="shared" si="93"/>
        <v>-</v>
      </c>
      <c r="N224" s="144"/>
      <c r="O224" s="261" t="str">
        <f t="shared" si="96"/>
        <v>-</v>
      </c>
      <c r="P224" s="135">
        <f t="shared" si="97"/>
        <v>3</v>
      </c>
      <c r="R224" s="265"/>
      <c r="S224" s="263"/>
      <c r="T224" s="264"/>
      <c r="U224" s="265"/>
      <c r="V224" s="263"/>
      <c r="W224" s="264"/>
      <c r="X224" s="265"/>
      <c r="Y224" s="263"/>
      <c r="Z224" s="264"/>
      <c r="AA224" s="265"/>
      <c r="AB224" s="263"/>
      <c r="AC224" s="264"/>
      <c r="AD224" s="265"/>
      <c r="AE224" s="263"/>
      <c r="AF224" s="264"/>
      <c r="AG224" s="265"/>
      <c r="AH224" s="263"/>
      <c r="AI224" s="264"/>
      <c r="AJ224" s="265"/>
      <c r="AK224" s="263"/>
      <c r="AL224" s="264"/>
      <c r="AM224" s="265"/>
      <c r="AN224" s="263"/>
      <c r="AO224" s="264"/>
      <c r="AP224" s="265"/>
      <c r="AQ224" s="263"/>
      <c r="AR224" s="264"/>
      <c r="AS224" s="265"/>
      <c r="AT224" s="263"/>
      <c r="AU224" s="264"/>
      <c r="AV224" s="265"/>
      <c r="AW224" s="263"/>
      <c r="AX224" s="264"/>
      <c r="AY224" s="265"/>
      <c r="AZ224" s="263"/>
      <c r="BA224" s="264"/>
      <c r="BB224" s="265"/>
      <c r="BC224" s="263"/>
      <c r="BD224" s="264"/>
      <c r="BE224" s="265"/>
      <c r="BF224" s="263"/>
      <c r="BG224" s="264"/>
      <c r="BH224" s="265"/>
      <c r="BI224" s="263"/>
      <c r="BJ224" s="264"/>
      <c r="BK224" s="265"/>
      <c r="BL224" s="263"/>
      <c r="BM224" s="264"/>
      <c r="BN224" s="265"/>
      <c r="BO224" s="263"/>
      <c r="BP224" s="264"/>
      <c r="BQ224" s="265"/>
      <c r="BR224" s="263"/>
      <c r="BS224" s="264"/>
      <c r="BT224" s="265"/>
      <c r="BU224" s="263"/>
      <c r="BV224" s="264"/>
      <c r="BW224" s="265"/>
      <c r="BX224" s="263"/>
      <c r="BY224" s="264"/>
      <c r="BZ224" s="269"/>
      <c r="CA224" s="270"/>
      <c r="CB224" s="268"/>
      <c r="CC224" s="269"/>
      <c r="CD224" s="270"/>
      <c r="CE224" s="270"/>
      <c r="CF224" s="269"/>
      <c r="CG224" s="268"/>
      <c r="CH224" s="268"/>
      <c r="CI224" s="269"/>
      <c r="CJ224" s="268"/>
      <c r="CP224" s="153">
        <v>1</v>
      </c>
      <c r="CQ224" s="153" t="s">
        <v>41</v>
      </c>
      <c r="CR224" s="153" t="s">
        <v>41</v>
      </c>
      <c r="CS224" s="153" t="s">
        <v>41</v>
      </c>
      <c r="CT224" s="258" t="s">
        <v>41</v>
      </c>
      <c r="CU224" s="133"/>
      <c r="CV224" s="261" t="str">
        <f t="shared" si="95"/>
        <v>-</v>
      </c>
      <c r="CX224" s="271">
        <v>3</v>
      </c>
      <c r="DO224" s="154"/>
      <c r="EQ224" s="119"/>
      <c r="ER224" s="119"/>
      <c r="ES224" s="119"/>
      <c r="ET224" s="119"/>
      <c r="EU224" s="119"/>
      <c r="EV224" s="119"/>
      <c r="EW224" s="119"/>
      <c r="EX224" s="119"/>
      <c r="EY224" s="119"/>
      <c r="EZ224" s="119"/>
      <c r="FA224" s="119"/>
      <c r="FB224" s="119"/>
      <c r="FC224" s="119"/>
      <c r="FD224" s="119"/>
      <c r="FE224" s="119"/>
    </row>
    <row r="225" spans="2:259" ht="13.5" customHeight="1" x14ac:dyDescent="0.2">
      <c r="B225" s="131" t="s">
        <v>129</v>
      </c>
      <c r="C225" s="257" t="s">
        <v>32</v>
      </c>
      <c r="D225" s="133">
        <f t="shared" si="86"/>
        <v>0</v>
      </c>
      <c r="E225" s="133" t="str">
        <f t="shared" si="87"/>
        <v>-</v>
      </c>
      <c r="F225" s="133" t="str">
        <f t="shared" si="88"/>
        <v>-</v>
      </c>
      <c r="G225" s="133" t="str">
        <f t="shared" si="89"/>
        <v>-</v>
      </c>
      <c r="H225" s="258" t="str">
        <f t="shared" si="90"/>
        <v>-</v>
      </c>
      <c r="I225" s="133"/>
      <c r="J225" s="259" t="str">
        <f t="shared" si="91"/>
        <v>-</v>
      </c>
      <c r="K225" s="133" t="e">
        <f t="shared" si="92"/>
        <v>#VALUE!</v>
      </c>
      <c r="L225" s="121"/>
      <c r="M225" s="260" t="str">
        <f t="shared" si="93"/>
        <v>-</v>
      </c>
      <c r="O225" s="261">
        <f t="shared" si="96"/>
        <v>3</v>
      </c>
      <c r="P225" s="135">
        <f t="shared" si="97"/>
        <v>1</v>
      </c>
      <c r="R225" s="265"/>
      <c r="S225" s="263"/>
      <c r="T225" s="264"/>
      <c r="U225" s="265"/>
      <c r="V225" s="263"/>
      <c r="W225" s="264"/>
      <c r="X225" s="265"/>
      <c r="Y225" s="263"/>
      <c r="Z225" s="264"/>
      <c r="AA225" s="265"/>
      <c r="AB225" s="263"/>
      <c r="AC225" s="264"/>
      <c r="AD225" s="265"/>
      <c r="AE225" s="263"/>
      <c r="AF225" s="264"/>
      <c r="AG225" s="265"/>
      <c r="AH225" s="263"/>
      <c r="AI225" s="264"/>
      <c r="AJ225" s="265"/>
      <c r="AK225" s="263"/>
      <c r="AL225" s="264"/>
      <c r="AM225" s="265"/>
      <c r="AN225" s="263"/>
      <c r="AO225" s="264"/>
      <c r="AP225" s="265"/>
      <c r="AQ225" s="263"/>
      <c r="AR225" s="264"/>
      <c r="AS225" s="265"/>
      <c r="AT225" s="263"/>
      <c r="AU225" s="264"/>
      <c r="AV225" s="265"/>
      <c r="AW225" s="263"/>
      <c r="AX225" s="264"/>
      <c r="AY225" s="265"/>
      <c r="AZ225" s="263"/>
      <c r="BA225" s="264"/>
      <c r="BB225" s="265"/>
      <c r="BC225" s="263"/>
      <c r="BD225" s="264"/>
      <c r="BE225" s="265"/>
      <c r="BF225" s="263"/>
      <c r="BG225" s="264"/>
      <c r="BH225" s="265"/>
      <c r="BI225" s="263"/>
      <c r="BJ225" s="264"/>
      <c r="BK225" s="265"/>
      <c r="BL225" s="263"/>
      <c r="BM225" s="264"/>
      <c r="BN225" s="265"/>
      <c r="BO225" s="263"/>
      <c r="BP225" s="264"/>
      <c r="BQ225" s="265"/>
      <c r="BR225" s="263"/>
      <c r="BS225" s="264"/>
      <c r="BT225" s="265"/>
      <c r="BU225" s="263"/>
      <c r="BV225" s="264"/>
      <c r="BW225" s="265"/>
      <c r="BX225" s="263"/>
      <c r="BY225" s="264"/>
      <c r="BZ225" s="269"/>
      <c r="CA225" s="270"/>
      <c r="CB225" s="268"/>
      <c r="CC225" s="269"/>
      <c r="CD225" s="270"/>
      <c r="CE225" s="270"/>
      <c r="CF225" s="269"/>
      <c r="CG225" s="268"/>
      <c r="CH225" s="268"/>
      <c r="CI225" s="269"/>
      <c r="CJ225" s="268"/>
      <c r="CP225" s="153">
        <v>1</v>
      </c>
      <c r="CQ225" s="153">
        <v>1</v>
      </c>
      <c r="CR225" s="153">
        <v>0</v>
      </c>
      <c r="CS225" s="153">
        <v>3</v>
      </c>
      <c r="CT225" s="258">
        <v>3</v>
      </c>
      <c r="CU225" s="133"/>
      <c r="CV225" s="134">
        <f t="shared" si="95"/>
        <v>3</v>
      </c>
      <c r="CX225" s="271">
        <v>1</v>
      </c>
      <c r="DO225" s="154"/>
      <c r="EQ225" s="119"/>
      <c r="ER225" s="119"/>
      <c r="ES225" s="119"/>
      <c r="ET225" s="119"/>
      <c r="EU225" s="119"/>
      <c r="EV225" s="119"/>
      <c r="EW225" s="119"/>
      <c r="EX225" s="119"/>
      <c r="EY225" s="119"/>
      <c r="EZ225" s="119"/>
      <c r="FA225" s="119"/>
      <c r="FB225" s="119"/>
      <c r="FC225" s="119"/>
      <c r="FD225" s="119"/>
      <c r="FE225" s="119"/>
    </row>
    <row r="226" spans="2:259" ht="13.5" customHeight="1" x14ac:dyDescent="0.2">
      <c r="B226" s="131" t="s">
        <v>37</v>
      </c>
      <c r="C226" s="257" t="s">
        <v>34</v>
      </c>
      <c r="D226" s="133">
        <f t="shared" si="86"/>
        <v>0</v>
      </c>
      <c r="E226" s="133" t="str">
        <f t="shared" si="87"/>
        <v>-</v>
      </c>
      <c r="F226" s="133" t="str">
        <f t="shared" si="88"/>
        <v>-</v>
      </c>
      <c r="G226" s="133" t="str">
        <f t="shared" si="89"/>
        <v>-</v>
      </c>
      <c r="H226" s="258" t="str">
        <f t="shared" si="90"/>
        <v>-</v>
      </c>
      <c r="I226" s="133"/>
      <c r="J226" s="259" t="str">
        <f t="shared" si="91"/>
        <v>-</v>
      </c>
      <c r="K226" s="133" t="e">
        <f t="shared" si="92"/>
        <v>#VALUE!</v>
      </c>
      <c r="L226" s="121"/>
      <c r="M226" s="260" t="str">
        <f t="shared" si="93"/>
        <v>-</v>
      </c>
      <c r="O226" s="261">
        <f t="shared" si="96"/>
        <v>25.8</v>
      </c>
      <c r="P226" s="135">
        <f t="shared" si="97"/>
        <v>3</v>
      </c>
      <c r="Q226" s="121"/>
      <c r="R226" s="265"/>
      <c r="S226" s="263"/>
      <c r="T226" s="267"/>
      <c r="U226" s="265"/>
      <c r="V226" s="263"/>
      <c r="W226" s="267"/>
      <c r="X226" s="265"/>
      <c r="Y226" s="263"/>
      <c r="Z226" s="267"/>
      <c r="AA226" s="265"/>
      <c r="AB226" s="263"/>
      <c r="AC226" s="267"/>
      <c r="AD226" s="265"/>
      <c r="AE226" s="263"/>
      <c r="AF226" s="267"/>
      <c r="AG226" s="265"/>
      <c r="AH226" s="263"/>
      <c r="AI226" s="267"/>
      <c r="AJ226" s="265"/>
      <c r="AK226" s="263"/>
      <c r="AL226" s="267"/>
      <c r="AM226" s="265"/>
      <c r="AN226" s="263"/>
      <c r="AO226" s="267"/>
      <c r="AP226" s="265"/>
      <c r="AQ226" s="263"/>
      <c r="AR226" s="267"/>
      <c r="AS226" s="265"/>
      <c r="AT226" s="263"/>
      <c r="AU226" s="267"/>
      <c r="AV226" s="265"/>
      <c r="AW226" s="263"/>
      <c r="AX226" s="267"/>
      <c r="AY226" s="265"/>
      <c r="AZ226" s="263"/>
      <c r="BA226" s="267"/>
      <c r="BB226" s="265"/>
      <c r="BC226" s="263"/>
      <c r="BD226" s="267"/>
      <c r="BE226" s="265"/>
      <c r="BF226" s="263"/>
      <c r="BG226" s="267"/>
      <c r="BH226" s="265"/>
      <c r="BI226" s="263"/>
      <c r="BJ226" s="267"/>
      <c r="BK226" s="265"/>
      <c r="BL226" s="263"/>
      <c r="BM226" s="267"/>
      <c r="BN226" s="265"/>
      <c r="BO226" s="263"/>
      <c r="BP226" s="267"/>
      <c r="BQ226" s="265"/>
      <c r="BR226" s="263"/>
      <c r="BS226" s="267"/>
      <c r="BT226" s="265"/>
      <c r="BU226" s="263"/>
      <c r="BV226" s="267"/>
      <c r="BW226" s="265"/>
      <c r="BX226" s="263"/>
      <c r="BY226" s="267"/>
      <c r="BZ226" s="269"/>
      <c r="CA226" s="270"/>
      <c r="CB226" s="268"/>
      <c r="CC226" s="269"/>
      <c r="CD226" s="270"/>
      <c r="CE226" s="270"/>
      <c r="CF226" s="269"/>
      <c r="CG226" s="268"/>
      <c r="CH226" s="268"/>
      <c r="CI226" s="269"/>
      <c r="CJ226" s="268"/>
      <c r="CP226" s="153">
        <v>64</v>
      </c>
      <c r="CQ226" s="153">
        <v>57</v>
      </c>
      <c r="CR226" s="153">
        <v>7</v>
      </c>
      <c r="CS226" s="153">
        <v>1290</v>
      </c>
      <c r="CT226" s="258">
        <v>121</v>
      </c>
      <c r="CU226" s="133"/>
      <c r="CV226" s="134">
        <f t="shared" si="95"/>
        <v>25.8</v>
      </c>
      <c r="CW226" s="119" t="s">
        <v>116</v>
      </c>
      <c r="CX226" s="135"/>
      <c r="DO226" s="154"/>
      <c r="EQ226" s="119"/>
      <c r="ER226" s="119"/>
      <c r="ES226" s="119"/>
      <c r="ET226" s="119"/>
      <c r="EU226" s="119"/>
      <c r="EV226" s="119"/>
      <c r="EW226" s="119"/>
      <c r="EX226" s="119"/>
      <c r="EY226" s="119"/>
      <c r="EZ226" s="119"/>
      <c r="FA226" s="119"/>
      <c r="FB226" s="119"/>
      <c r="FC226" s="119"/>
      <c r="FD226" s="119"/>
      <c r="FE226" s="119"/>
    </row>
    <row r="227" spans="2:259" ht="13.5" customHeight="1" x14ac:dyDescent="0.2">
      <c r="B227" s="131" t="s">
        <v>156</v>
      </c>
      <c r="C227" s="257" t="s">
        <v>32</v>
      </c>
      <c r="D227" s="133">
        <f t="shared" si="86"/>
        <v>0</v>
      </c>
      <c r="E227" s="133" t="str">
        <f t="shared" si="87"/>
        <v>-</v>
      </c>
      <c r="F227" s="133" t="str">
        <f t="shared" si="88"/>
        <v>-</v>
      </c>
      <c r="G227" s="133" t="str">
        <f t="shared" si="89"/>
        <v>-</v>
      </c>
      <c r="H227" s="258" t="str">
        <f t="shared" si="90"/>
        <v>-</v>
      </c>
      <c r="I227" s="133"/>
      <c r="J227" s="259" t="str">
        <f t="shared" si="91"/>
        <v>-</v>
      </c>
      <c r="K227" s="133" t="e">
        <f t="shared" si="92"/>
        <v>#VALUE!</v>
      </c>
      <c r="L227" s="121"/>
      <c r="M227" s="260" t="str">
        <f t="shared" si="93"/>
        <v>-</v>
      </c>
      <c r="O227" s="261">
        <f t="shared" si="96"/>
        <v>0</v>
      </c>
      <c r="P227" s="135">
        <f t="shared" si="97"/>
        <v>1</v>
      </c>
      <c r="R227" s="265"/>
      <c r="S227" s="263"/>
      <c r="T227" s="264"/>
      <c r="U227" s="265"/>
      <c r="V227" s="263"/>
      <c r="W227" s="264"/>
      <c r="X227" s="265"/>
      <c r="Y227" s="263"/>
      <c r="Z227" s="264"/>
      <c r="AA227" s="265"/>
      <c r="AB227" s="263"/>
      <c r="AC227" s="264"/>
      <c r="AD227" s="265"/>
      <c r="AE227" s="263"/>
      <c r="AF227" s="264"/>
      <c r="AG227" s="265"/>
      <c r="AH227" s="263"/>
      <c r="AI227" s="264"/>
      <c r="AJ227" s="265"/>
      <c r="AK227" s="263"/>
      <c r="AL227" s="264"/>
      <c r="AM227" s="265"/>
      <c r="AN227" s="263"/>
      <c r="AO227" s="264"/>
      <c r="AP227" s="265"/>
      <c r="AQ227" s="263"/>
      <c r="AR227" s="264"/>
      <c r="AS227" s="265"/>
      <c r="AT227" s="263"/>
      <c r="AU227" s="264"/>
      <c r="AV227" s="265"/>
      <c r="AW227" s="263"/>
      <c r="AX227" s="264"/>
      <c r="AY227" s="265"/>
      <c r="AZ227" s="263"/>
      <c r="BA227" s="264"/>
      <c r="BB227" s="265"/>
      <c r="BC227" s="263"/>
      <c r="BD227" s="264"/>
      <c r="BE227" s="265"/>
      <c r="BF227" s="263"/>
      <c r="BG227" s="264"/>
      <c r="BH227" s="265"/>
      <c r="BI227" s="263"/>
      <c r="BJ227" s="264"/>
      <c r="BK227" s="265"/>
      <c r="BL227" s="263"/>
      <c r="BM227" s="264"/>
      <c r="BN227" s="265"/>
      <c r="BO227" s="263"/>
      <c r="BP227" s="264"/>
      <c r="BQ227" s="265"/>
      <c r="BR227" s="263"/>
      <c r="BS227" s="264"/>
      <c r="BT227" s="265"/>
      <c r="BU227" s="263"/>
      <c r="BV227" s="264"/>
      <c r="BW227" s="265"/>
      <c r="BX227" s="263"/>
      <c r="BY227" s="264"/>
      <c r="BZ227" s="269"/>
      <c r="CA227" s="270"/>
      <c r="CB227" s="268"/>
      <c r="CC227" s="269"/>
      <c r="CD227" s="270"/>
      <c r="CE227" s="270"/>
      <c r="CF227" s="269"/>
      <c r="CG227" s="268"/>
      <c r="CH227" s="268"/>
      <c r="CI227" s="269"/>
      <c r="CJ227" s="268"/>
      <c r="CP227" s="153">
        <v>1</v>
      </c>
      <c r="CQ227" s="153">
        <v>1</v>
      </c>
      <c r="CR227" s="153">
        <v>0</v>
      </c>
      <c r="CS227" s="153">
        <v>0</v>
      </c>
      <c r="CT227" s="258">
        <v>0</v>
      </c>
      <c r="CU227" s="133"/>
      <c r="CV227" s="134">
        <f t="shared" si="95"/>
        <v>0</v>
      </c>
      <c r="CX227" s="271">
        <v>1</v>
      </c>
      <c r="DO227" s="154"/>
      <c r="EQ227" s="119"/>
      <c r="ER227" s="119"/>
      <c r="ES227" s="119"/>
      <c r="ET227" s="119"/>
      <c r="EU227" s="119"/>
      <c r="EV227" s="119"/>
      <c r="EW227" s="119"/>
      <c r="EX227" s="119"/>
      <c r="EY227" s="119"/>
      <c r="EZ227" s="119"/>
      <c r="FA227" s="119"/>
      <c r="FB227" s="119"/>
      <c r="FC227" s="119"/>
      <c r="FD227" s="119"/>
      <c r="FE227" s="119"/>
    </row>
    <row r="228" spans="2:259" ht="13.5" customHeight="1" x14ac:dyDescent="0.2">
      <c r="B228" s="131" t="s">
        <v>136</v>
      </c>
      <c r="C228" s="257" t="s">
        <v>43</v>
      </c>
      <c r="D228" s="133">
        <f t="shared" si="86"/>
        <v>0</v>
      </c>
      <c r="E228" s="133" t="str">
        <f t="shared" si="87"/>
        <v>-</v>
      </c>
      <c r="F228" s="133" t="str">
        <f t="shared" si="88"/>
        <v>-</v>
      </c>
      <c r="G228" s="133" t="str">
        <f t="shared" si="89"/>
        <v>-</v>
      </c>
      <c r="H228" s="258" t="str">
        <f t="shared" si="90"/>
        <v>-</v>
      </c>
      <c r="I228" s="133"/>
      <c r="J228" s="259" t="str">
        <f t="shared" si="91"/>
        <v>-</v>
      </c>
      <c r="K228" s="133" t="e">
        <f t="shared" si="92"/>
        <v>#VALUE!</v>
      </c>
      <c r="L228" s="121"/>
      <c r="M228" s="260" t="str">
        <f t="shared" si="93"/>
        <v>-</v>
      </c>
      <c r="O228" s="261" t="s">
        <v>41</v>
      </c>
      <c r="P228" s="261" t="s">
        <v>41</v>
      </c>
      <c r="Q228" s="121"/>
      <c r="R228" s="265"/>
      <c r="S228" s="263"/>
      <c r="T228" s="268"/>
      <c r="U228" s="265"/>
      <c r="V228" s="263"/>
      <c r="W228" s="268"/>
      <c r="X228" s="265"/>
      <c r="Y228" s="263"/>
      <c r="Z228" s="268"/>
      <c r="AA228" s="265"/>
      <c r="AB228" s="263"/>
      <c r="AC228" s="268"/>
      <c r="AD228" s="265"/>
      <c r="AE228" s="263"/>
      <c r="AF228" s="268"/>
      <c r="AG228" s="265"/>
      <c r="AH228" s="263"/>
      <c r="AI228" s="268"/>
      <c r="AJ228" s="265"/>
      <c r="AK228" s="263"/>
      <c r="AL228" s="268"/>
      <c r="AM228" s="265"/>
      <c r="AN228" s="263"/>
      <c r="AO228" s="268"/>
      <c r="AP228" s="265"/>
      <c r="AQ228" s="263"/>
      <c r="AR228" s="268"/>
      <c r="AS228" s="265"/>
      <c r="AT228" s="263"/>
      <c r="AU228" s="268"/>
      <c r="AV228" s="265"/>
      <c r="AW228" s="263"/>
      <c r="AX228" s="268"/>
      <c r="AY228" s="265"/>
      <c r="AZ228" s="263"/>
      <c r="BA228" s="268"/>
      <c r="BB228" s="265"/>
      <c r="BC228" s="263"/>
      <c r="BD228" s="268"/>
      <c r="BE228" s="265"/>
      <c r="BF228" s="263"/>
      <c r="BG228" s="268"/>
      <c r="BH228" s="265"/>
      <c r="BI228" s="263"/>
      <c r="BJ228" s="268"/>
      <c r="BK228" s="265"/>
      <c r="BL228" s="263"/>
      <c r="BM228" s="268"/>
      <c r="BN228" s="265"/>
      <c r="BO228" s="263"/>
      <c r="BP228" s="268"/>
      <c r="BQ228" s="265"/>
      <c r="BR228" s="263"/>
      <c r="BS228" s="268"/>
      <c r="BT228" s="265"/>
      <c r="BU228" s="263"/>
      <c r="BV228" s="268"/>
      <c r="BW228" s="265"/>
      <c r="BX228" s="263"/>
      <c r="BY228" s="268"/>
      <c r="CE228" s="270"/>
      <c r="CF228" s="269"/>
      <c r="CG228" s="268"/>
      <c r="CH228" s="268"/>
      <c r="CI228" s="269"/>
      <c r="CJ228" s="268"/>
      <c r="CP228" s="153"/>
      <c r="CQ228" s="153"/>
      <c r="CR228" s="153"/>
      <c r="CS228" s="153"/>
      <c r="CT228" s="258"/>
      <c r="CU228" s="133"/>
      <c r="CV228" s="134"/>
      <c r="CX228" s="271"/>
      <c r="DO228" s="154"/>
      <c r="EQ228" s="119"/>
      <c r="ER228" s="119"/>
      <c r="ES228" s="119"/>
      <c r="ET228" s="119"/>
      <c r="EU228" s="119"/>
      <c r="EV228" s="119"/>
      <c r="EW228" s="119"/>
      <c r="EX228" s="119"/>
      <c r="EY228" s="119"/>
      <c r="EZ228" s="119"/>
      <c r="FA228" s="119"/>
      <c r="FB228" s="119"/>
      <c r="FC228" s="119"/>
      <c r="FD228" s="119"/>
      <c r="FE228" s="119"/>
    </row>
    <row r="229" spans="2:259" ht="13.5" customHeight="1" x14ac:dyDescent="0.2">
      <c r="B229" s="131" t="s">
        <v>40</v>
      </c>
      <c r="C229" s="257" t="s">
        <v>38</v>
      </c>
      <c r="D229" s="133">
        <f t="shared" si="86"/>
        <v>0</v>
      </c>
      <c r="E229" s="133" t="str">
        <f t="shared" si="87"/>
        <v>-</v>
      </c>
      <c r="F229" s="133" t="str">
        <f t="shared" si="88"/>
        <v>-</v>
      </c>
      <c r="G229" s="133" t="str">
        <f t="shared" si="89"/>
        <v>-</v>
      </c>
      <c r="H229" s="258" t="str">
        <f t="shared" si="90"/>
        <v>-</v>
      </c>
      <c r="I229" s="133"/>
      <c r="J229" s="259" t="str">
        <f t="shared" si="91"/>
        <v>-</v>
      </c>
      <c r="K229" s="133" t="e">
        <f t="shared" si="92"/>
        <v>#VALUE!</v>
      </c>
      <c r="L229" s="121"/>
      <c r="M229" s="260" t="str">
        <f t="shared" si="93"/>
        <v>-</v>
      </c>
      <c r="O229" s="261" t="str">
        <f>IF(CQ229="-",IF(E229="-","-",IF(E229-F229=0,G229,G229/(E229-F229))),IF(E229="-",IF(CQ229-CR229=0,"-",CS229/(CQ229-CR229)),(CS229+G229)/IF(CQ229-CR229+E229-F229=0,1,CQ229-CR229+E229-F229)))</f>
        <v>-</v>
      </c>
      <c r="P229" s="135">
        <f>IF(CQ229="-",IF(E229="-",CX229,IF((E229-F229)&lt;5,CX229,IF(O229&gt;=40,5,IF(O229&gt;=30,4,IF(O229&gt;=20,3,IF(O229&gt;=10,2,1)))))),IF(E229="-",IF((CQ229-CR229)&lt;5,CX229,IF(O229&gt;=40,5,IF(O229&gt;=30,4,IF(O229&gt;=20,3,IF(O229&gt;=10,2,1))))),IF((CQ229+E229-CR229-F229)&lt;5,CX229,IF(O229&gt;=40,5,IF(O229&gt;=30,4,IF(O229&gt;=20,3,IF(O229&gt;=10,2,1)))))))</f>
        <v>2</v>
      </c>
      <c r="Q229" s="121"/>
      <c r="R229" s="265"/>
      <c r="S229" s="263"/>
      <c r="T229" s="268"/>
      <c r="U229" s="265"/>
      <c r="V229" s="263"/>
      <c r="W229" s="268"/>
      <c r="X229" s="265"/>
      <c r="Y229" s="263"/>
      <c r="Z229" s="268"/>
      <c r="AA229" s="265"/>
      <c r="AB229" s="263"/>
      <c r="AC229" s="268"/>
      <c r="AD229" s="265"/>
      <c r="AE229" s="263"/>
      <c r="AF229" s="268"/>
      <c r="AG229" s="265"/>
      <c r="AH229" s="263"/>
      <c r="AI229" s="268"/>
      <c r="AJ229" s="265"/>
      <c r="AK229" s="263"/>
      <c r="AL229" s="268"/>
      <c r="AM229" s="265"/>
      <c r="AN229" s="263"/>
      <c r="AO229" s="268"/>
      <c r="AP229" s="265"/>
      <c r="AQ229" s="263"/>
      <c r="AR229" s="268"/>
      <c r="AS229" s="265"/>
      <c r="AT229" s="263"/>
      <c r="AU229" s="268"/>
      <c r="AV229" s="265"/>
      <c r="AW229" s="263"/>
      <c r="AX229" s="268"/>
      <c r="AY229" s="265"/>
      <c r="AZ229" s="263"/>
      <c r="BA229" s="268"/>
      <c r="BB229" s="265"/>
      <c r="BC229" s="263"/>
      <c r="BD229" s="268"/>
      <c r="BE229" s="265"/>
      <c r="BF229" s="263"/>
      <c r="BG229" s="268"/>
      <c r="BH229" s="265"/>
      <c r="BI229" s="263"/>
      <c r="BJ229" s="268"/>
      <c r="BK229" s="265"/>
      <c r="BL229" s="263"/>
      <c r="BM229" s="268"/>
      <c r="BN229" s="265"/>
      <c r="BO229" s="263"/>
      <c r="BP229" s="268"/>
      <c r="BQ229" s="265"/>
      <c r="BR229" s="263"/>
      <c r="BS229" s="268"/>
      <c r="BT229" s="265"/>
      <c r="BU229" s="263"/>
      <c r="BV229" s="268"/>
      <c r="BW229" s="265"/>
      <c r="BX229" s="263"/>
      <c r="BY229" s="268"/>
      <c r="CE229" s="270"/>
      <c r="CF229" s="269"/>
      <c r="CG229" s="268"/>
      <c r="CH229" s="268"/>
      <c r="CI229" s="269"/>
      <c r="CJ229" s="268"/>
      <c r="CP229" s="153" t="s">
        <v>41</v>
      </c>
      <c r="CQ229" s="153" t="s">
        <v>41</v>
      </c>
      <c r="CR229" s="153" t="s">
        <v>41</v>
      </c>
      <c r="CS229" s="153" t="s">
        <v>41</v>
      </c>
      <c r="CT229" s="258"/>
      <c r="CU229" s="133"/>
      <c r="CV229" s="261" t="str">
        <f>IF(CQ229="-","-",IF(CQ229-CR229=0,CS229,CS229/(CQ229-CR229)))</f>
        <v>-</v>
      </c>
      <c r="CX229" s="271">
        <v>2</v>
      </c>
      <c r="DO229" s="154"/>
      <c r="EQ229" s="119"/>
      <c r="ER229" s="119"/>
      <c r="ES229" s="119"/>
      <c r="ET229" s="119"/>
      <c r="EU229" s="119"/>
      <c r="EV229" s="119"/>
      <c r="EW229" s="119"/>
      <c r="EX229" s="119"/>
      <c r="EY229" s="119"/>
      <c r="EZ229" s="119"/>
      <c r="FA229" s="119"/>
      <c r="FB229" s="119"/>
      <c r="FC229" s="119"/>
      <c r="FD229" s="119"/>
      <c r="FE229" s="119"/>
    </row>
    <row r="230" spans="2:259" ht="13.5" customHeight="1" x14ac:dyDescent="0.2">
      <c r="B230" s="131" t="s">
        <v>127</v>
      </c>
      <c r="C230" s="257" t="s">
        <v>38</v>
      </c>
      <c r="D230" s="133">
        <f t="shared" si="86"/>
        <v>0</v>
      </c>
      <c r="E230" s="133" t="str">
        <f t="shared" si="87"/>
        <v>-</v>
      </c>
      <c r="F230" s="133" t="str">
        <f t="shared" si="88"/>
        <v>-</v>
      </c>
      <c r="G230" s="133" t="str">
        <f t="shared" si="89"/>
        <v>-</v>
      </c>
      <c r="H230" s="258" t="str">
        <f t="shared" si="90"/>
        <v>-</v>
      </c>
      <c r="I230" s="133"/>
      <c r="J230" s="259" t="str">
        <f t="shared" si="91"/>
        <v>-</v>
      </c>
      <c r="K230" s="133" t="e">
        <f t="shared" si="92"/>
        <v>#VALUE!</v>
      </c>
      <c r="L230" s="121"/>
      <c r="M230" s="260" t="str">
        <f t="shared" si="93"/>
        <v>-</v>
      </c>
      <c r="N230" s="144"/>
      <c r="O230" s="261" t="s">
        <v>41</v>
      </c>
      <c r="P230" s="261" t="s">
        <v>41</v>
      </c>
      <c r="Q230" s="121"/>
      <c r="R230" s="265"/>
      <c r="S230" s="263"/>
      <c r="T230" s="266"/>
      <c r="U230" s="265"/>
      <c r="V230" s="263"/>
      <c r="W230" s="266"/>
      <c r="X230" s="265"/>
      <c r="Y230" s="263"/>
      <c r="Z230" s="266"/>
      <c r="AA230" s="265"/>
      <c r="AB230" s="263"/>
      <c r="AC230" s="266"/>
      <c r="AD230" s="265"/>
      <c r="AE230" s="263"/>
      <c r="AF230" s="266"/>
      <c r="AG230" s="265"/>
      <c r="AH230" s="263"/>
      <c r="AI230" s="266"/>
      <c r="AJ230" s="265"/>
      <c r="AK230" s="263"/>
      <c r="AL230" s="266"/>
      <c r="AM230" s="265"/>
      <c r="AN230" s="263"/>
      <c r="AO230" s="266"/>
      <c r="AP230" s="265"/>
      <c r="AQ230" s="263"/>
      <c r="AR230" s="266"/>
      <c r="AS230" s="265"/>
      <c r="AT230" s="263"/>
      <c r="AU230" s="266"/>
      <c r="AV230" s="265"/>
      <c r="AW230" s="263"/>
      <c r="AX230" s="266"/>
      <c r="AY230" s="265"/>
      <c r="AZ230" s="263"/>
      <c r="BA230" s="266"/>
      <c r="BB230" s="265"/>
      <c r="BC230" s="263"/>
      <c r="BD230" s="266"/>
      <c r="BE230" s="265"/>
      <c r="BF230" s="263"/>
      <c r="BG230" s="266"/>
      <c r="BH230" s="265"/>
      <c r="BI230" s="263"/>
      <c r="BJ230" s="266"/>
      <c r="BK230" s="265"/>
      <c r="BL230" s="263"/>
      <c r="BM230" s="266"/>
      <c r="BN230" s="265"/>
      <c r="BO230" s="263"/>
      <c r="BP230" s="266"/>
      <c r="BQ230" s="265"/>
      <c r="BR230" s="263"/>
      <c r="BS230" s="266"/>
      <c r="BT230" s="265"/>
      <c r="BU230" s="263"/>
      <c r="BV230" s="266"/>
      <c r="BW230" s="265"/>
      <c r="BX230" s="263"/>
      <c r="BY230" s="266"/>
      <c r="CE230" s="270"/>
      <c r="CF230" s="269"/>
      <c r="CG230" s="268"/>
      <c r="CH230" s="268"/>
      <c r="CI230" s="269"/>
      <c r="CJ230" s="268"/>
      <c r="CP230" s="153"/>
      <c r="CQ230" s="153"/>
      <c r="CR230" s="153"/>
      <c r="CS230" s="153"/>
      <c r="CT230" s="258"/>
      <c r="CU230" s="133"/>
      <c r="CV230" s="134"/>
      <c r="CX230" s="135"/>
      <c r="EQ230" s="119"/>
      <c r="ER230" s="119"/>
      <c r="ES230" s="119"/>
      <c r="ET230" s="119"/>
      <c r="EU230" s="119"/>
      <c r="EV230" s="119"/>
      <c r="EW230" s="119"/>
      <c r="EX230" s="119"/>
      <c r="EY230" s="119"/>
      <c r="EZ230" s="119"/>
      <c r="FA230" s="119"/>
      <c r="FB230" s="119"/>
      <c r="FC230" s="119"/>
      <c r="FD230" s="119"/>
      <c r="FE230" s="119"/>
    </row>
    <row r="231" spans="2:259" ht="13.5" customHeight="1" x14ac:dyDescent="0.2">
      <c r="B231" s="131" t="s">
        <v>149</v>
      </c>
      <c r="C231" s="257" t="s">
        <v>38</v>
      </c>
      <c r="D231" s="133">
        <f t="shared" si="86"/>
        <v>0</v>
      </c>
      <c r="E231" s="133" t="str">
        <f t="shared" si="87"/>
        <v>-</v>
      </c>
      <c r="F231" s="133" t="str">
        <f t="shared" si="88"/>
        <v>-</v>
      </c>
      <c r="G231" s="133" t="str">
        <f t="shared" si="89"/>
        <v>-</v>
      </c>
      <c r="H231" s="258" t="str">
        <f t="shared" si="90"/>
        <v>-</v>
      </c>
      <c r="I231" s="133"/>
      <c r="J231" s="259" t="str">
        <f t="shared" si="91"/>
        <v>-</v>
      </c>
      <c r="K231" s="133" t="e">
        <f t="shared" si="92"/>
        <v>#VALUE!</v>
      </c>
      <c r="L231" s="121"/>
      <c r="M231" s="260" t="str">
        <f t="shared" si="93"/>
        <v>-</v>
      </c>
      <c r="O231" s="261">
        <f>IF(CQ231="-",IF(E231="-","-",IF(E231-F231=0,G231,G231/(E231-F231))),IF(E231="-",IF(CQ231-CR231=0,"-",CS231/(CQ231-CR231)),(CS231+G231)/IF(CQ231-CR231+E231-F231=0,1,CQ231-CR231+E231-F231)))</f>
        <v>4</v>
      </c>
      <c r="P231" s="135">
        <f>IF(CQ231="-",IF(E231="-",CX231,IF((E231-F231)&lt;5,CX231,IF(O231&gt;=40,5,IF(O231&gt;=30,4,IF(O231&gt;=20,3,IF(O231&gt;=10,2,1)))))),IF(E231="-",IF((CQ231-CR231)&lt;5,CX231,IF(O231&gt;=40,5,IF(O231&gt;=30,4,IF(O231&gt;=20,3,IF(O231&gt;=10,2,1))))),IF((CQ231+E231-CR231-F231)&lt;5,CX231,IF(O231&gt;=40,5,IF(O231&gt;=30,4,IF(O231&gt;=20,3,IF(O231&gt;=10,2,1)))))))</f>
        <v>2</v>
      </c>
      <c r="R231" s="265"/>
      <c r="S231" s="263"/>
      <c r="T231" s="264"/>
      <c r="U231" s="265"/>
      <c r="V231" s="263"/>
      <c r="W231" s="264"/>
      <c r="X231" s="265"/>
      <c r="Y231" s="263"/>
      <c r="Z231" s="264"/>
      <c r="AA231" s="265"/>
      <c r="AB231" s="263"/>
      <c r="AC231" s="264"/>
      <c r="AD231" s="265"/>
      <c r="AE231" s="263"/>
      <c r="AF231" s="264"/>
      <c r="AG231" s="265"/>
      <c r="AH231" s="263"/>
      <c r="AI231" s="264"/>
      <c r="AJ231" s="265"/>
      <c r="AK231" s="263"/>
      <c r="AL231" s="264"/>
      <c r="AM231" s="265"/>
      <c r="AN231" s="263"/>
      <c r="AO231" s="264"/>
      <c r="AP231" s="265"/>
      <c r="AQ231" s="263"/>
      <c r="AR231" s="264"/>
      <c r="AS231" s="265"/>
      <c r="AT231" s="263"/>
      <c r="AU231" s="264"/>
      <c r="AV231" s="265"/>
      <c r="AW231" s="263"/>
      <c r="AX231" s="264"/>
      <c r="AY231" s="265"/>
      <c r="AZ231" s="263"/>
      <c r="BA231" s="264"/>
      <c r="BB231" s="265"/>
      <c r="BC231" s="263"/>
      <c r="BD231" s="264"/>
      <c r="BE231" s="265"/>
      <c r="BF231" s="263"/>
      <c r="BG231" s="264"/>
      <c r="BH231" s="265"/>
      <c r="BI231" s="263"/>
      <c r="BJ231" s="264"/>
      <c r="BK231" s="265"/>
      <c r="BL231" s="263"/>
      <c r="BM231" s="264"/>
      <c r="BN231" s="265"/>
      <c r="BO231" s="263"/>
      <c r="BP231" s="264"/>
      <c r="BQ231" s="265"/>
      <c r="BR231" s="263"/>
      <c r="BS231" s="264"/>
      <c r="BT231" s="265"/>
      <c r="BU231" s="263"/>
      <c r="BV231" s="264"/>
      <c r="BW231" s="265"/>
      <c r="BX231" s="263"/>
      <c r="BY231" s="264"/>
      <c r="BZ231" s="269"/>
      <c r="CA231" s="270"/>
      <c r="CB231" s="268"/>
      <c r="CC231" s="269"/>
      <c r="CD231" s="270"/>
      <c r="CE231" s="270"/>
      <c r="CF231" s="269"/>
      <c r="CG231" s="268"/>
      <c r="CH231" s="268"/>
      <c r="CI231" s="269"/>
      <c r="CJ231" s="268"/>
      <c r="CP231" s="153">
        <v>2</v>
      </c>
      <c r="CQ231" s="153">
        <v>1</v>
      </c>
      <c r="CR231" s="153">
        <v>0</v>
      </c>
      <c r="CS231" s="153">
        <v>4</v>
      </c>
      <c r="CT231" s="258">
        <v>4</v>
      </c>
      <c r="CU231" s="133"/>
      <c r="CV231" s="134">
        <f>IF(CQ231="-","-",IF(CQ231-CR231=0,CS231,CS231/(CQ231-CR231)))</f>
        <v>4</v>
      </c>
      <c r="CX231" s="271">
        <v>2</v>
      </c>
      <c r="DO231" s="154"/>
      <c r="EQ231" s="119"/>
      <c r="ER231" s="119"/>
      <c r="ES231" s="119"/>
      <c r="ET231" s="119"/>
      <c r="EU231" s="119"/>
      <c r="EV231" s="119"/>
      <c r="EW231" s="119"/>
      <c r="EX231" s="119"/>
      <c r="EY231" s="119"/>
      <c r="EZ231" s="119"/>
      <c r="FA231" s="119"/>
      <c r="FB231" s="119"/>
      <c r="FC231" s="119"/>
      <c r="FD231" s="119"/>
      <c r="FE231" s="119"/>
    </row>
    <row r="232" spans="2:259" x14ac:dyDescent="0.2">
      <c r="T232" s="119"/>
      <c r="W232" s="119"/>
      <c r="Z232" s="119"/>
      <c r="AC232" s="119"/>
      <c r="AF232" s="119"/>
      <c r="AI232" s="119"/>
      <c r="AL232" s="119"/>
      <c r="AO232" s="119"/>
      <c r="AR232" s="119"/>
      <c r="AU232" s="119"/>
      <c r="AX232" s="119"/>
      <c r="BA232" s="119"/>
      <c r="BD232" s="119"/>
      <c r="BG232" s="119"/>
      <c r="BJ232" s="119"/>
      <c r="BM232" s="119"/>
      <c r="BP232" s="119"/>
      <c r="BS232" s="119"/>
      <c r="BV232" s="119"/>
      <c r="BY232" s="119"/>
      <c r="EQ232" s="119"/>
      <c r="ER232" s="119"/>
      <c r="ES232" s="119"/>
      <c r="ET232" s="119"/>
      <c r="EU232" s="119"/>
      <c r="EV232" s="119"/>
      <c r="EW232" s="119"/>
      <c r="EX232" s="119"/>
      <c r="EY232" s="119"/>
      <c r="EZ232" s="119"/>
      <c r="FA232" s="119"/>
      <c r="FB232" s="119"/>
      <c r="FC232" s="119"/>
      <c r="FD232" s="119"/>
      <c r="FE232" s="119"/>
      <c r="FF232" s="119"/>
      <c r="FG232" s="119"/>
      <c r="FH232" s="119"/>
      <c r="FI232" s="119"/>
      <c r="FJ232" s="119"/>
      <c r="FK232" s="119"/>
      <c r="FL232" s="119"/>
      <c r="FM232" s="119"/>
      <c r="FN232" s="119"/>
      <c r="FO232" s="119"/>
      <c r="FP232" s="119"/>
      <c r="FQ232" s="119"/>
      <c r="FR232" s="119"/>
      <c r="FS232" s="119"/>
      <c r="FT232" s="119"/>
      <c r="FU232" s="119"/>
      <c r="FV232" s="119"/>
      <c r="FW232" s="119"/>
      <c r="FX232" s="119"/>
      <c r="FY232" s="119"/>
      <c r="FZ232" s="119"/>
      <c r="GA232" s="119"/>
      <c r="GB232" s="119"/>
      <c r="GC232" s="119"/>
      <c r="GD232" s="119"/>
      <c r="GE232" s="119"/>
      <c r="GF232" s="119"/>
      <c r="GG232" s="119"/>
      <c r="GH232" s="119"/>
      <c r="GI232" s="119"/>
      <c r="GJ232" s="119"/>
      <c r="GK232" s="119"/>
      <c r="GL232" s="119"/>
      <c r="GM232" s="119"/>
      <c r="GN232" s="119"/>
      <c r="GO232" s="119"/>
      <c r="GP232" s="119"/>
      <c r="GQ232" s="119"/>
      <c r="GR232" s="119"/>
      <c r="GS232" s="119"/>
      <c r="GT232" s="119"/>
      <c r="GU232" s="119"/>
      <c r="GV232" s="119"/>
      <c r="GW232" s="119"/>
      <c r="GX232" s="119"/>
      <c r="GY232" s="119"/>
      <c r="GZ232" s="119"/>
      <c r="HA232" s="119"/>
      <c r="HB232" s="119"/>
      <c r="HC232" s="119"/>
      <c r="HD232" s="119"/>
      <c r="HE232" s="119"/>
      <c r="HF232" s="119"/>
      <c r="HG232" s="119"/>
      <c r="HH232" s="119"/>
      <c r="HI232" s="119"/>
      <c r="HJ232" s="119"/>
      <c r="HK232" s="119"/>
      <c r="HL232" s="119"/>
      <c r="HM232" s="119"/>
      <c r="HN232" s="119"/>
      <c r="HO232" s="119"/>
      <c r="HP232" s="119"/>
      <c r="HQ232" s="119"/>
      <c r="HR232" s="119"/>
      <c r="HS232" s="119"/>
      <c r="HT232" s="119"/>
      <c r="HU232" s="119"/>
      <c r="HV232" s="119"/>
      <c r="HW232" s="119"/>
      <c r="HX232" s="119"/>
      <c r="HY232" s="119"/>
      <c r="HZ232" s="119"/>
      <c r="IA232" s="119"/>
      <c r="IB232" s="119"/>
      <c r="IC232" s="119"/>
      <c r="ID232" s="119"/>
      <c r="IE232" s="119"/>
      <c r="IF232" s="119"/>
      <c r="IG232" s="119"/>
      <c r="IH232" s="119"/>
      <c r="II232" s="119"/>
      <c r="IJ232" s="119"/>
      <c r="IK232" s="119"/>
      <c r="IL232" s="119"/>
      <c r="IM232" s="119"/>
      <c r="IN232" s="119"/>
      <c r="IO232" s="119"/>
      <c r="IP232" s="119"/>
      <c r="IQ232" s="119"/>
      <c r="IR232" s="119"/>
      <c r="IS232" s="119"/>
      <c r="IT232" s="119"/>
      <c r="IU232" s="119"/>
      <c r="IV232" s="119"/>
      <c r="IW232" s="119"/>
      <c r="IX232" s="119"/>
      <c r="IY232" s="119"/>
    </row>
    <row r="233" spans="2:259" x14ac:dyDescent="0.2">
      <c r="T233" s="119"/>
      <c r="W233" s="119"/>
      <c r="Z233" s="119"/>
      <c r="AC233" s="119"/>
      <c r="AF233" s="119"/>
      <c r="AI233" s="119"/>
      <c r="AL233" s="119"/>
      <c r="AO233" s="119"/>
      <c r="AR233" s="119"/>
      <c r="AU233" s="119"/>
      <c r="AX233" s="119"/>
      <c r="BA233" s="119"/>
      <c r="BD233" s="119"/>
      <c r="BG233" s="119"/>
      <c r="BJ233" s="119"/>
      <c r="BM233" s="119"/>
      <c r="BP233" s="119"/>
      <c r="BS233" s="119"/>
      <c r="BV233" s="119"/>
      <c r="BY233" s="119"/>
      <c r="EQ233" s="119"/>
      <c r="ER233" s="119"/>
      <c r="ES233" s="119"/>
      <c r="ET233" s="119"/>
      <c r="EU233" s="119"/>
      <c r="EV233" s="119"/>
      <c r="EW233" s="119"/>
      <c r="EX233" s="119"/>
      <c r="EY233" s="119"/>
      <c r="EZ233" s="119"/>
      <c r="FA233" s="119"/>
      <c r="FB233" s="119"/>
      <c r="FC233" s="119"/>
      <c r="FD233" s="119"/>
      <c r="FE233" s="119"/>
      <c r="FF233" s="119"/>
      <c r="FG233" s="119"/>
      <c r="FH233" s="119"/>
      <c r="FI233" s="119"/>
      <c r="FJ233" s="119"/>
      <c r="FK233" s="119"/>
      <c r="FL233" s="119"/>
      <c r="FM233" s="119"/>
      <c r="FN233" s="119"/>
      <c r="FO233" s="119"/>
      <c r="FP233" s="119"/>
      <c r="FQ233" s="119"/>
      <c r="FR233" s="119"/>
      <c r="FS233" s="119"/>
      <c r="FT233" s="119"/>
      <c r="FU233" s="119"/>
      <c r="FV233" s="119"/>
      <c r="FW233" s="119"/>
      <c r="FX233" s="119"/>
      <c r="FY233" s="119"/>
      <c r="FZ233" s="119"/>
      <c r="GA233" s="119"/>
      <c r="GB233" s="119"/>
      <c r="GC233" s="119"/>
      <c r="GD233" s="119"/>
      <c r="GE233" s="119"/>
      <c r="GF233" s="119"/>
      <c r="GG233" s="119"/>
      <c r="GH233" s="119"/>
      <c r="GI233" s="119"/>
      <c r="GJ233" s="119"/>
      <c r="GK233" s="119"/>
      <c r="GL233" s="119"/>
      <c r="GM233" s="119"/>
      <c r="GN233" s="119"/>
      <c r="GO233" s="119"/>
      <c r="GP233" s="119"/>
      <c r="GQ233" s="119"/>
      <c r="GR233" s="119"/>
      <c r="GS233" s="119"/>
      <c r="GT233" s="119"/>
      <c r="GU233" s="119"/>
      <c r="GV233" s="119"/>
      <c r="GW233" s="119"/>
      <c r="GX233" s="119"/>
      <c r="GY233" s="119"/>
      <c r="GZ233" s="119"/>
      <c r="HA233" s="119"/>
      <c r="HB233" s="119"/>
      <c r="HC233" s="119"/>
      <c r="HD233" s="119"/>
      <c r="HE233" s="119"/>
      <c r="HF233" s="119"/>
      <c r="HG233" s="119"/>
      <c r="HH233" s="119"/>
      <c r="HI233" s="119"/>
      <c r="HJ233" s="119"/>
      <c r="HK233" s="119"/>
      <c r="HL233" s="119"/>
      <c r="HM233" s="119"/>
      <c r="HN233" s="119"/>
      <c r="HO233" s="119"/>
      <c r="HP233" s="119"/>
      <c r="HQ233" s="119"/>
      <c r="HR233" s="119"/>
      <c r="HS233" s="119"/>
      <c r="HT233" s="119"/>
      <c r="HU233" s="119"/>
      <c r="HV233" s="119"/>
      <c r="HW233" s="119"/>
      <c r="HX233" s="119"/>
      <c r="HY233" s="119"/>
      <c r="HZ233" s="119"/>
      <c r="IA233" s="119"/>
      <c r="IB233" s="119"/>
      <c r="IC233" s="119"/>
      <c r="ID233" s="119"/>
      <c r="IE233" s="119"/>
      <c r="IF233" s="119"/>
      <c r="IG233" s="119"/>
      <c r="IH233" s="119"/>
      <c r="II233" s="119"/>
      <c r="IJ233" s="119"/>
      <c r="IK233" s="119"/>
      <c r="IL233" s="119"/>
      <c r="IM233" s="119"/>
      <c r="IN233" s="119"/>
      <c r="IO233" s="119"/>
      <c r="IP233" s="119"/>
      <c r="IQ233" s="119"/>
      <c r="IR233" s="119"/>
      <c r="IS233" s="119"/>
      <c r="IT233" s="119"/>
      <c r="IU233" s="119"/>
      <c r="IV233" s="119"/>
      <c r="IW233" s="119"/>
      <c r="IX233" s="119"/>
      <c r="IY233" s="119"/>
    </row>
    <row r="234" spans="2:259" x14ac:dyDescent="0.2">
      <c r="T234" s="119"/>
      <c r="W234" s="119"/>
      <c r="Z234" s="119"/>
      <c r="AC234" s="119"/>
      <c r="AF234" s="119"/>
      <c r="AI234" s="119"/>
      <c r="AL234" s="119"/>
      <c r="AO234" s="119"/>
      <c r="AR234" s="119"/>
      <c r="AU234" s="119"/>
      <c r="AX234" s="119"/>
      <c r="BA234" s="119"/>
      <c r="BD234" s="119"/>
      <c r="BG234" s="119"/>
      <c r="BJ234" s="119"/>
      <c r="BM234" s="119"/>
      <c r="BP234" s="119"/>
      <c r="BS234" s="119"/>
      <c r="BV234" s="119"/>
      <c r="BY234" s="119"/>
      <c r="EQ234" s="119"/>
      <c r="ER234" s="119"/>
      <c r="ES234" s="119"/>
      <c r="ET234" s="119"/>
      <c r="EU234" s="119"/>
      <c r="EV234" s="119"/>
      <c r="EW234" s="119"/>
      <c r="EX234" s="119"/>
      <c r="EY234" s="119"/>
      <c r="EZ234" s="119"/>
      <c r="FA234" s="119"/>
      <c r="FB234" s="119"/>
      <c r="FC234" s="119"/>
      <c r="FD234" s="119"/>
      <c r="FE234" s="119"/>
      <c r="FF234" s="119"/>
      <c r="FG234" s="119"/>
      <c r="FH234" s="119"/>
      <c r="FI234" s="119"/>
      <c r="FJ234" s="119"/>
      <c r="FK234" s="119"/>
      <c r="FL234" s="119"/>
      <c r="FM234" s="119"/>
      <c r="FN234" s="119"/>
      <c r="FO234" s="119"/>
      <c r="FP234" s="119"/>
      <c r="FQ234" s="119"/>
      <c r="FR234" s="119"/>
      <c r="FS234" s="119"/>
      <c r="FT234" s="119"/>
      <c r="FU234" s="119"/>
      <c r="FV234" s="119"/>
      <c r="FW234" s="119"/>
      <c r="FX234" s="119"/>
      <c r="FY234" s="119"/>
      <c r="FZ234" s="119"/>
      <c r="GA234" s="119"/>
      <c r="GB234" s="119"/>
      <c r="GC234" s="119"/>
      <c r="GD234" s="119"/>
      <c r="GE234" s="119"/>
      <c r="GF234" s="119"/>
      <c r="GG234" s="119"/>
      <c r="GH234" s="119"/>
      <c r="GI234" s="119"/>
      <c r="GJ234" s="119"/>
      <c r="GK234" s="119"/>
      <c r="GL234" s="119"/>
      <c r="GM234" s="119"/>
      <c r="GN234" s="119"/>
      <c r="GO234" s="119"/>
      <c r="GP234" s="119"/>
      <c r="GQ234" s="119"/>
      <c r="GR234" s="119"/>
      <c r="GS234" s="119"/>
      <c r="GT234" s="119"/>
      <c r="GU234" s="119"/>
      <c r="GV234" s="119"/>
      <c r="GW234" s="119"/>
      <c r="GX234" s="119"/>
      <c r="GY234" s="119"/>
      <c r="GZ234" s="119"/>
      <c r="HA234" s="119"/>
      <c r="HB234" s="119"/>
      <c r="HC234" s="119"/>
      <c r="HD234" s="119"/>
      <c r="HE234" s="119"/>
      <c r="HF234" s="119"/>
      <c r="HG234" s="119"/>
      <c r="HH234" s="119"/>
      <c r="HI234" s="119"/>
      <c r="HJ234" s="119"/>
      <c r="HK234" s="119"/>
      <c r="HL234" s="119"/>
      <c r="HM234" s="119"/>
      <c r="HN234" s="119"/>
      <c r="HO234" s="119"/>
      <c r="HP234" s="119"/>
      <c r="HQ234" s="119"/>
      <c r="HR234" s="119"/>
      <c r="HS234" s="119"/>
      <c r="HT234" s="119"/>
      <c r="HU234" s="119"/>
      <c r="HV234" s="119"/>
      <c r="HW234" s="119"/>
      <c r="HX234" s="119"/>
      <c r="HY234" s="119"/>
      <c r="HZ234" s="119"/>
      <c r="IA234" s="119"/>
      <c r="IB234" s="119"/>
      <c r="IC234" s="119"/>
      <c r="ID234" s="119"/>
      <c r="IE234" s="119"/>
      <c r="IF234" s="119"/>
      <c r="IG234" s="119"/>
      <c r="IH234" s="119"/>
      <c r="II234" s="119"/>
      <c r="IJ234" s="119"/>
      <c r="IK234" s="119"/>
      <c r="IL234" s="119"/>
      <c r="IM234" s="119"/>
      <c r="IN234" s="119"/>
      <c r="IO234" s="119"/>
      <c r="IP234" s="119"/>
      <c r="IQ234" s="119"/>
      <c r="IR234" s="119"/>
      <c r="IS234" s="119"/>
      <c r="IT234" s="119"/>
      <c r="IU234" s="119"/>
      <c r="IV234" s="119"/>
      <c r="IW234" s="119"/>
      <c r="IX234" s="119"/>
      <c r="IY234" s="119"/>
    </row>
    <row r="235" spans="2:259" x14ac:dyDescent="0.2">
      <c r="T235" s="119"/>
      <c r="W235" s="119"/>
      <c r="Z235" s="119"/>
      <c r="AC235" s="119"/>
      <c r="AF235" s="119"/>
      <c r="AI235" s="119"/>
      <c r="AL235" s="119"/>
      <c r="AO235" s="119"/>
      <c r="AR235" s="119"/>
      <c r="AU235" s="119"/>
      <c r="AX235" s="119"/>
      <c r="BA235" s="119"/>
      <c r="BD235" s="119"/>
      <c r="BG235" s="119"/>
      <c r="BJ235" s="119"/>
      <c r="BM235" s="119"/>
      <c r="BP235" s="119"/>
      <c r="BS235" s="119"/>
      <c r="BV235" s="119"/>
      <c r="BY235" s="119"/>
      <c r="EQ235" s="119"/>
      <c r="ER235" s="119"/>
      <c r="ES235" s="119"/>
      <c r="ET235" s="119"/>
      <c r="EU235" s="119"/>
      <c r="EV235" s="119"/>
      <c r="EW235" s="119"/>
      <c r="EX235" s="119"/>
      <c r="EY235" s="119"/>
      <c r="EZ235" s="119"/>
      <c r="FA235" s="119"/>
      <c r="FB235" s="119"/>
      <c r="FC235" s="119"/>
      <c r="FD235" s="119"/>
      <c r="FE235" s="119"/>
      <c r="FF235" s="119"/>
      <c r="FG235" s="119"/>
      <c r="FH235" s="119"/>
      <c r="FI235" s="119"/>
      <c r="FJ235" s="119"/>
      <c r="FK235" s="119"/>
      <c r="FL235" s="119"/>
      <c r="FM235" s="119"/>
      <c r="FN235" s="119"/>
      <c r="FO235" s="119"/>
      <c r="FP235" s="119"/>
      <c r="FQ235" s="119"/>
      <c r="FR235" s="119"/>
      <c r="FS235" s="119"/>
      <c r="FT235" s="119"/>
      <c r="FU235" s="119"/>
      <c r="FV235" s="119"/>
      <c r="FW235" s="119"/>
      <c r="FX235" s="119"/>
      <c r="FY235" s="119"/>
      <c r="FZ235" s="119"/>
      <c r="GA235" s="119"/>
      <c r="GB235" s="119"/>
      <c r="GC235" s="119"/>
      <c r="GD235" s="119"/>
      <c r="GE235" s="119"/>
      <c r="GF235" s="119"/>
      <c r="GG235" s="119"/>
      <c r="GH235" s="119"/>
      <c r="GI235" s="119"/>
      <c r="GJ235" s="119"/>
      <c r="GK235" s="119"/>
      <c r="GL235" s="119"/>
      <c r="GM235" s="119"/>
      <c r="GN235" s="119"/>
      <c r="GO235" s="119"/>
      <c r="GP235" s="119"/>
      <c r="GQ235" s="119"/>
      <c r="GR235" s="119"/>
      <c r="GS235" s="119"/>
      <c r="GT235" s="119"/>
      <c r="GU235" s="119"/>
      <c r="GV235" s="119"/>
      <c r="GW235" s="119"/>
      <c r="GX235" s="119"/>
      <c r="GY235" s="119"/>
      <c r="GZ235" s="119"/>
      <c r="HA235" s="119"/>
      <c r="HB235" s="119"/>
      <c r="HC235" s="119"/>
      <c r="HD235" s="119"/>
      <c r="HE235" s="119"/>
      <c r="HF235" s="119"/>
      <c r="HG235" s="119"/>
      <c r="HH235" s="119"/>
      <c r="HI235" s="119"/>
      <c r="HJ235" s="119"/>
      <c r="HK235" s="119"/>
      <c r="HL235" s="119"/>
      <c r="HM235" s="119"/>
      <c r="HN235" s="119"/>
      <c r="HO235" s="119"/>
      <c r="HP235" s="119"/>
      <c r="HQ235" s="119"/>
      <c r="HR235" s="119"/>
      <c r="HS235" s="119"/>
      <c r="HT235" s="119"/>
      <c r="HU235" s="119"/>
      <c r="HV235" s="119"/>
      <c r="HW235" s="119"/>
      <c r="HX235" s="119"/>
      <c r="HY235" s="119"/>
      <c r="HZ235" s="119"/>
      <c r="IA235" s="119"/>
      <c r="IB235" s="119"/>
      <c r="IC235" s="119"/>
      <c r="ID235" s="119"/>
      <c r="IE235" s="119"/>
      <c r="IF235" s="119"/>
      <c r="IG235" s="119"/>
      <c r="IH235" s="119"/>
      <c r="II235" s="119"/>
      <c r="IJ235" s="119"/>
      <c r="IK235" s="119"/>
      <c r="IL235" s="119"/>
      <c r="IM235" s="119"/>
      <c r="IN235" s="119"/>
      <c r="IO235" s="119"/>
      <c r="IP235" s="119"/>
      <c r="IQ235" s="119"/>
      <c r="IR235" s="119"/>
      <c r="IS235" s="119"/>
      <c r="IT235" s="119"/>
      <c r="IU235" s="119"/>
      <c r="IV235" s="119"/>
      <c r="IW235" s="119"/>
      <c r="IX235" s="119"/>
      <c r="IY235" s="119"/>
    </row>
    <row r="236" spans="2:259" x14ac:dyDescent="0.2">
      <c r="T236" s="119"/>
      <c r="W236" s="119"/>
      <c r="Z236" s="119"/>
      <c r="AC236" s="119"/>
      <c r="AF236" s="119"/>
      <c r="AI236" s="119"/>
      <c r="AL236" s="119"/>
      <c r="AO236" s="119"/>
      <c r="AR236" s="119"/>
      <c r="AU236" s="119"/>
      <c r="AX236" s="119"/>
      <c r="BA236" s="119"/>
      <c r="BD236" s="119"/>
      <c r="BG236" s="119"/>
      <c r="BJ236" s="119"/>
      <c r="BM236" s="119"/>
      <c r="BP236" s="119"/>
      <c r="BS236" s="119"/>
      <c r="BV236" s="119"/>
      <c r="BY236" s="119"/>
      <c r="EQ236" s="119"/>
      <c r="ER236" s="119"/>
      <c r="ES236" s="119"/>
      <c r="ET236" s="119"/>
      <c r="EU236" s="119"/>
      <c r="EV236" s="119"/>
      <c r="EW236" s="119"/>
      <c r="EX236" s="119"/>
      <c r="EY236" s="119"/>
      <c r="EZ236" s="119"/>
      <c r="FA236" s="119"/>
      <c r="FB236" s="119"/>
      <c r="FC236" s="119"/>
      <c r="FD236" s="119"/>
      <c r="FE236" s="119"/>
      <c r="FF236" s="119"/>
      <c r="FG236" s="119"/>
      <c r="FH236" s="119"/>
      <c r="FI236" s="119"/>
      <c r="FJ236" s="119"/>
      <c r="FK236" s="119"/>
      <c r="FL236" s="119"/>
      <c r="FM236" s="119"/>
      <c r="FN236" s="119"/>
      <c r="FO236" s="119"/>
      <c r="FP236" s="119"/>
      <c r="FQ236" s="119"/>
      <c r="FR236" s="119"/>
      <c r="FS236" s="119"/>
      <c r="FT236" s="119"/>
      <c r="FU236" s="119"/>
      <c r="FV236" s="119"/>
      <c r="FW236" s="119"/>
      <c r="FX236" s="119"/>
      <c r="FY236" s="119"/>
      <c r="FZ236" s="119"/>
      <c r="GA236" s="119"/>
      <c r="GB236" s="119"/>
      <c r="GC236" s="119"/>
      <c r="GD236" s="119"/>
      <c r="GE236" s="119"/>
      <c r="GF236" s="119"/>
      <c r="GG236" s="119"/>
      <c r="GH236" s="119"/>
      <c r="GI236" s="119"/>
      <c r="GJ236" s="119"/>
      <c r="GK236" s="119"/>
      <c r="GL236" s="119"/>
      <c r="GM236" s="119"/>
      <c r="GN236" s="119"/>
      <c r="GO236" s="119"/>
      <c r="GP236" s="119"/>
      <c r="GQ236" s="119"/>
      <c r="GR236" s="119"/>
      <c r="GS236" s="119"/>
      <c r="GT236" s="119"/>
      <c r="GU236" s="119"/>
      <c r="GV236" s="119"/>
      <c r="GW236" s="119"/>
      <c r="GX236" s="119"/>
      <c r="GY236" s="119"/>
      <c r="GZ236" s="119"/>
      <c r="HA236" s="119"/>
      <c r="HB236" s="119"/>
      <c r="HC236" s="119"/>
      <c r="HD236" s="119"/>
      <c r="HE236" s="119"/>
      <c r="HF236" s="119"/>
      <c r="HG236" s="119"/>
      <c r="HH236" s="119"/>
      <c r="HI236" s="119"/>
      <c r="HJ236" s="119"/>
      <c r="HK236" s="119"/>
      <c r="HL236" s="119"/>
      <c r="HM236" s="119"/>
      <c r="HN236" s="119"/>
      <c r="HO236" s="119"/>
      <c r="HP236" s="119"/>
      <c r="HQ236" s="119"/>
      <c r="HR236" s="119"/>
      <c r="HS236" s="119"/>
      <c r="HT236" s="119"/>
      <c r="HU236" s="119"/>
      <c r="HV236" s="119"/>
      <c r="HW236" s="119"/>
      <c r="HX236" s="119"/>
      <c r="HY236" s="119"/>
      <c r="HZ236" s="119"/>
      <c r="IA236" s="119"/>
      <c r="IB236" s="119"/>
      <c r="IC236" s="119"/>
      <c r="ID236" s="119"/>
      <c r="IE236" s="119"/>
      <c r="IF236" s="119"/>
      <c r="IG236" s="119"/>
      <c r="IH236" s="119"/>
      <c r="II236" s="119"/>
      <c r="IJ236" s="119"/>
      <c r="IK236" s="119"/>
      <c r="IL236" s="119"/>
      <c r="IM236" s="119"/>
      <c r="IN236" s="119"/>
      <c r="IO236" s="119"/>
      <c r="IP236" s="119"/>
      <c r="IQ236" s="119"/>
      <c r="IR236" s="119"/>
      <c r="IS236" s="119"/>
      <c r="IT236" s="119"/>
      <c r="IU236" s="119"/>
      <c r="IV236" s="119"/>
      <c r="IW236" s="119"/>
      <c r="IX236" s="119"/>
      <c r="IY236" s="119"/>
    </row>
    <row r="237" spans="2:259" x14ac:dyDescent="0.2">
      <c r="T237" s="119"/>
      <c r="W237" s="119"/>
      <c r="Z237" s="119"/>
      <c r="AC237" s="119"/>
      <c r="AF237" s="119"/>
      <c r="AI237" s="119"/>
      <c r="AL237" s="119"/>
      <c r="AO237" s="119"/>
      <c r="AR237" s="119"/>
      <c r="AU237" s="119"/>
      <c r="AX237" s="119"/>
      <c r="BA237" s="119"/>
      <c r="BD237" s="119"/>
      <c r="BG237" s="119"/>
      <c r="BJ237" s="119"/>
      <c r="BM237" s="119"/>
      <c r="BP237" s="119"/>
      <c r="BS237" s="119"/>
      <c r="BV237" s="119"/>
      <c r="BY237" s="119"/>
      <c r="EQ237" s="119"/>
      <c r="ER237" s="119"/>
      <c r="ES237" s="119"/>
      <c r="ET237" s="119"/>
      <c r="EU237" s="119"/>
      <c r="EV237" s="119"/>
      <c r="EW237" s="119"/>
      <c r="EX237" s="119"/>
      <c r="EY237" s="119"/>
      <c r="EZ237" s="119"/>
      <c r="FA237" s="119"/>
      <c r="FB237" s="119"/>
      <c r="FC237" s="119"/>
      <c r="FD237" s="119"/>
      <c r="FE237" s="119"/>
      <c r="FF237" s="119"/>
      <c r="FG237" s="119"/>
      <c r="FH237" s="119"/>
      <c r="FI237" s="119"/>
      <c r="FJ237" s="119"/>
      <c r="FK237" s="119"/>
      <c r="FL237" s="119"/>
      <c r="FM237" s="119"/>
      <c r="FN237" s="119"/>
      <c r="FO237" s="119"/>
      <c r="FP237" s="119"/>
      <c r="FQ237" s="119"/>
      <c r="FR237" s="119"/>
      <c r="FS237" s="119"/>
      <c r="FT237" s="119"/>
      <c r="FU237" s="119"/>
      <c r="FV237" s="119"/>
      <c r="FW237" s="119"/>
      <c r="FX237" s="119"/>
      <c r="FY237" s="119"/>
      <c r="FZ237" s="119"/>
      <c r="GA237" s="119"/>
      <c r="GB237" s="119"/>
      <c r="GC237" s="119"/>
      <c r="GD237" s="119"/>
      <c r="GE237" s="119"/>
      <c r="GF237" s="119"/>
      <c r="GG237" s="119"/>
      <c r="GH237" s="119"/>
      <c r="GI237" s="119"/>
      <c r="GJ237" s="119"/>
      <c r="GK237" s="119"/>
      <c r="GL237" s="119"/>
      <c r="GM237" s="119"/>
      <c r="GN237" s="119"/>
      <c r="GO237" s="119"/>
      <c r="GP237" s="119"/>
      <c r="GQ237" s="119"/>
      <c r="GR237" s="119"/>
      <c r="GS237" s="119"/>
      <c r="GT237" s="119"/>
      <c r="GU237" s="119"/>
      <c r="GV237" s="119"/>
      <c r="GW237" s="119"/>
      <c r="GX237" s="119"/>
      <c r="GY237" s="119"/>
      <c r="GZ237" s="119"/>
      <c r="HA237" s="119"/>
      <c r="HB237" s="119"/>
      <c r="HC237" s="119"/>
      <c r="HD237" s="119"/>
      <c r="HE237" s="119"/>
      <c r="HF237" s="119"/>
      <c r="HG237" s="119"/>
      <c r="HH237" s="119"/>
      <c r="HI237" s="119"/>
      <c r="HJ237" s="119"/>
      <c r="HK237" s="119"/>
      <c r="HL237" s="119"/>
      <c r="HM237" s="119"/>
      <c r="HN237" s="119"/>
      <c r="HO237" s="119"/>
      <c r="HP237" s="119"/>
      <c r="HQ237" s="119"/>
      <c r="HR237" s="119"/>
      <c r="HS237" s="119"/>
      <c r="HT237" s="119"/>
      <c r="HU237" s="119"/>
      <c r="HV237" s="119"/>
      <c r="HW237" s="119"/>
      <c r="HX237" s="119"/>
      <c r="HY237" s="119"/>
      <c r="HZ237" s="119"/>
      <c r="IA237" s="119"/>
      <c r="IB237" s="119"/>
      <c r="IC237" s="119"/>
      <c r="ID237" s="119"/>
      <c r="IE237" s="119"/>
      <c r="IF237" s="119"/>
      <c r="IG237" s="119"/>
      <c r="IH237" s="119"/>
      <c r="II237" s="119"/>
      <c r="IJ237" s="119"/>
      <c r="IK237" s="119"/>
      <c r="IL237" s="119"/>
      <c r="IM237" s="119"/>
      <c r="IN237" s="119"/>
      <c r="IO237" s="119"/>
      <c r="IP237" s="119"/>
      <c r="IQ237" s="119"/>
      <c r="IR237" s="119"/>
      <c r="IS237" s="119"/>
      <c r="IT237" s="119"/>
      <c r="IU237" s="119"/>
      <c r="IV237" s="119"/>
      <c r="IW237" s="119"/>
      <c r="IX237" s="119"/>
      <c r="IY237" s="119"/>
    </row>
    <row r="238" spans="2:259" x14ac:dyDescent="0.2">
      <c r="T238" s="119"/>
      <c r="W238" s="119"/>
      <c r="Z238" s="119"/>
      <c r="AC238" s="119"/>
      <c r="AF238" s="119"/>
      <c r="AI238" s="119"/>
      <c r="AL238" s="119"/>
      <c r="AO238" s="119"/>
      <c r="AR238" s="119"/>
      <c r="AU238" s="119"/>
      <c r="AX238" s="119"/>
      <c r="BA238" s="119"/>
      <c r="BD238" s="119"/>
      <c r="BG238" s="119"/>
      <c r="BJ238" s="119"/>
      <c r="BM238" s="119"/>
      <c r="BP238" s="119"/>
      <c r="BS238" s="119"/>
      <c r="BV238" s="119"/>
      <c r="BY238" s="119"/>
      <c r="EQ238" s="119"/>
      <c r="ER238" s="119"/>
      <c r="ES238" s="119"/>
      <c r="ET238" s="119"/>
      <c r="EU238" s="119"/>
      <c r="EV238" s="119"/>
      <c r="EW238" s="119"/>
      <c r="EX238" s="119"/>
      <c r="EY238" s="119"/>
      <c r="EZ238" s="119"/>
      <c r="FA238" s="119"/>
      <c r="FB238" s="119"/>
      <c r="FC238" s="119"/>
      <c r="FD238" s="119"/>
      <c r="FE238" s="119"/>
      <c r="FF238" s="119"/>
      <c r="FG238" s="119"/>
      <c r="FH238" s="119"/>
      <c r="FI238" s="119"/>
      <c r="FJ238" s="119"/>
      <c r="FK238" s="119"/>
      <c r="FL238" s="119"/>
      <c r="FM238" s="119"/>
      <c r="FN238" s="119"/>
      <c r="FO238" s="119"/>
      <c r="FP238" s="119"/>
      <c r="FQ238" s="119"/>
      <c r="FR238" s="119"/>
      <c r="FS238" s="119"/>
      <c r="FT238" s="119"/>
      <c r="FU238" s="119"/>
      <c r="FV238" s="119"/>
      <c r="FW238" s="119"/>
      <c r="FX238" s="119"/>
      <c r="FY238" s="119"/>
      <c r="FZ238" s="119"/>
      <c r="GA238" s="119"/>
      <c r="GB238" s="119"/>
      <c r="GC238" s="119"/>
      <c r="GD238" s="119"/>
      <c r="GE238" s="119"/>
      <c r="GF238" s="119"/>
      <c r="GG238" s="119"/>
      <c r="GH238" s="119"/>
      <c r="GI238" s="119"/>
      <c r="GJ238" s="119"/>
      <c r="GK238" s="119"/>
      <c r="GL238" s="119"/>
      <c r="GM238" s="119"/>
      <c r="GN238" s="119"/>
      <c r="GO238" s="119"/>
      <c r="GP238" s="119"/>
      <c r="GQ238" s="119"/>
      <c r="GR238" s="119"/>
      <c r="GS238" s="119"/>
      <c r="GT238" s="119"/>
      <c r="GU238" s="119"/>
      <c r="GV238" s="119"/>
      <c r="GW238" s="119"/>
      <c r="GX238" s="119"/>
      <c r="GY238" s="119"/>
      <c r="GZ238" s="119"/>
      <c r="HA238" s="119"/>
      <c r="HB238" s="119"/>
      <c r="HC238" s="119"/>
      <c r="HD238" s="119"/>
      <c r="HE238" s="119"/>
      <c r="HF238" s="119"/>
      <c r="HG238" s="119"/>
      <c r="HH238" s="119"/>
      <c r="HI238" s="119"/>
      <c r="HJ238" s="119"/>
      <c r="HK238" s="119"/>
      <c r="HL238" s="119"/>
      <c r="HM238" s="119"/>
      <c r="HN238" s="119"/>
      <c r="HO238" s="119"/>
      <c r="HP238" s="119"/>
      <c r="HQ238" s="119"/>
      <c r="HR238" s="119"/>
      <c r="HS238" s="119"/>
      <c r="HT238" s="119"/>
      <c r="HU238" s="119"/>
      <c r="HV238" s="119"/>
      <c r="HW238" s="119"/>
      <c r="HX238" s="119"/>
      <c r="HY238" s="119"/>
      <c r="HZ238" s="119"/>
      <c r="IA238" s="119"/>
      <c r="IB238" s="119"/>
      <c r="IC238" s="119"/>
      <c r="ID238" s="119"/>
      <c r="IE238" s="119"/>
      <c r="IF238" s="119"/>
      <c r="IG238" s="119"/>
      <c r="IH238" s="119"/>
      <c r="II238" s="119"/>
      <c r="IJ238" s="119"/>
      <c r="IK238" s="119"/>
      <c r="IL238" s="119"/>
      <c r="IM238" s="119"/>
      <c r="IN238" s="119"/>
      <c r="IO238" s="119"/>
      <c r="IP238" s="119"/>
      <c r="IQ238" s="119"/>
      <c r="IR238" s="119"/>
      <c r="IS238" s="119"/>
      <c r="IT238" s="119"/>
      <c r="IU238" s="119"/>
      <c r="IV238" s="119"/>
      <c r="IW238" s="119"/>
      <c r="IX238" s="119"/>
      <c r="IY238" s="119"/>
    </row>
    <row r="239" spans="2:259" x14ac:dyDescent="0.2">
      <c r="T239" s="119"/>
      <c r="W239" s="119"/>
      <c r="Z239" s="119"/>
      <c r="AC239" s="119"/>
      <c r="AF239" s="119"/>
      <c r="AI239" s="119"/>
      <c r="AL239" s="119"/>
      <c r="AO239" s="119"/>
      <c r="AR239" s="119"/>
      <c r="AU239" s="119"/>
      <c r="AX239" s="119"/>
      <c r="BA239" s="119"/>
      <c r="BD239" s="119"/>
      <c r="BG239" s="119"/>
      <c r="BJ239" s="119"/>
      <c r="BM239" s="119"/>
      <c r="BP239" s="119"/>
      <c r="BS239" s="119"/>
      <c r="BV239" s="119"/>
      <c r="BY239" s="119"/>
      <c r="EQ239" s="119"/>
      <c r="ER239" s="119"/>
      <c r="ES239" s="119"/>
      <c r="ET239" s="119"/>
      <c r="EU239" s="119"/>
      <c r="EV239" s="119"/>
      <c r="EW239" s="119"/>
      <c r="EX239" s="119"/>
      <c r="EY239" s="119"/>
      <c r="EZ239" s="119"/>
      <c r="FA239" s="119"/>
      <c r="FB239" s="119"/>
      <c r="FC239" s="119"/>
      <c r="FD239" s="119"/>
      <c r="FE239" s="119"/>
      <c r="FF239" s="119"/>
      <c r="FG239" s="119"/>
      <c r="FH239" s="119"/>
      <c r="FI239" s="119"/>
      <c r="FJ239" s="119"/>
      <c r="FK239" s="119"/>
      <c r="FL239" s="119"/>
      <c r="FM239" s="119"/>
      <c r="FN239" s="119"/>
      <c r="FO239" s="119"/>
      <c r="FP239" s="119"/>
      <c r="FQ239" s="119"/>
      <c r="FR239" s="119"/>
      <c r="FS239" s="119"/>
      <c r="FT239" s="119"/>
      <c r="FU239" s="119"/>
      <c r="FV239" s="119"/>
      <c r="FW239" s="119"/>
      <c r="FX239" s="119"/>
      <c r="FY239" s="119"/>
      <c r="FZ239" s="119"/>
      <c r="GA239" s="119"/>
      <c r="GB239" s="119"/>
      <c r="GC239" s="119"/>
      <c r="GD239" s="119"/>
      <c r="GE239" s="119"/>
      <c r="GF239" s="119"/>
      <c r="GG239" s="119"/>
      <c r="GH239" s="119"/>
      <c r="GI239" s="119"/>
      <c r="GJ239" s="119"/>
      <c r="GK239" s="119"/>
      <c r="GL239" s="119"/>
      <c r="GM239" s="119"/>
      <c r="GN239" s="119"/>
      <c r="GO239" s="119"/>
      <c r="GP239" s="119"/>
      <c r="GQ239" s="119"/>
      <c r="GR239" s="119"/>
      <c r="GS239" s="119"/>
      <c r="GT239" s="119"/>
      <c r="GU239" s="119"/>
      <c r="GV239" s="119"/>
      <c r="GW239" s="119"/>
      <c r="GX239" s="119"/>
      <c r="GY239" s="119"/>
      <c r="GZ239" s="119"/>
      <c r="HA239" s="119"/>
      <c r="HB239" s="119"/>
      <c r="HC239" s="119"/>
      <c r="HD239" s="119"/>
      <c r="HE239" s="119"/>
      <c r="HF239" s="119"/>
      <c r="HG239" s="119"/>
      <c r="HH239" s="119"/>
      <c r="HI239" s="119"/>
      <c r="HJ239" s="119"/>
      <c r="HK239" s="119"/>
      <c r="HL239" s="119"/>
      <c r="HM239" s="119"/>
      <c r="HN239" s="119"/>
      <c r="HO239" s="119"/>
      <c r="HP239" s="119"/>
      <c r="HQ239" s="119"/>
      <c r="HR239" s="119"/>
      <c r="HS239" s="119"/>
      <c r="HT239" s="119"/>
      <c r="HU239" s="119"/>
      <c r="HV239" s="119"/>
      <c r="HW239" s="119"/>
      <c r="HX239" s="119"/>
      <c r="HY239" s="119"/>
      <c r="HZ239" s="119"/>
      <c r="IA239" s="119"/>
      <c r="IB239" s="119"/>
      <c r="IC239" s="119"/>
      <c r="ID239" s="119"/>
      <c r="IE239" s="119"/>
      <c r="IF239" s="119"/>
      <c r="IG239" s="119"/>
      <c r="IH239" s="119"/>
      <c r="II239" s="119"/>
      <c r="IJ239" s="119"/>
      <c r="IK239" s="119"/>
      <c r="IL239" s="119"/>
      <c r="IM239" s="119"/>
      <c r="IN239" s="119"/>
      <c r="IO239" s="119"/>
      <c r="IP239" s="119"/>
      <c r="IQ239" s="119"/>
      <c r="IR239" s="119"/>
      <c r="IS239" s="119"/>
      <c r="IT239" s="119"/>
      <c r="IU239" s="119"/>
      <c r="IV239" s="119"/>
      <c r="IW239" s="119"/>
      <c r="IX239" s="119"/>
      <c r="IY239" s="119"/>
    </row>
    <row r="240" spans="2:259" x14ac:dyDescent="0.2">
      <c r="T240" s="119"/>
      <c r="W240" s="119"/>
      <c r="Z240" s="119"/>
      <c r="AC240" s="119"/>
      <c r="AF240" s="119"/>
      <c r="AI240" s="119"/>
      <c r="AL240" s="119"/>
      <c r="AO240" s="119"/>
      <c r="AR240" s="119"/>
      <c r="AU240" s="119"/>
      <c r="AX240" s="119"/>
      <c r="BA240" s="119"/>
      <c r="BD240" s="119"/>
      <c r="BG240" s="119"/>
      <c r="BJ240" s="119"/>
      <c r="BM240" s="119"/>
      <c r="BP240" s="119"/>
      <c r="BS240" s="119"/>
      <c r="BV240" s="119"/>
      <c r="BY240" s="119"/>
      <c r="EQ240" s="119"/>
      <c r="ER240" s="119"/>
      <c r="ES240" s="119"/>
      <c r="ET240" s="119"/>
      <c r="EU240" s="119"/>
      <c r="EV240" s="119"/>
      <c r="EW240" s="119"/>
      <c r="EX240" s="119"/>
      <c r="EY240" s="119"/>
      <c r="EZ240" s="119"/>
      <c r="FA240" s="119"/>
      <c r="FB240" s="119"/>
      <c r="FC240" s="119"/>
      <c r="FD240" s="119"/>
      <c r="FE240" s="119"/>
      <c r="FF240" s="119"/>
      <c r="FG240" s="119"/>
      <c r="FH240" s="119"/>
      <c r="FI240" s="119"/>
      <c r="FJ240" s="119"/>
      <c r="FK240" s="119"/>
      <c r="FL240" s="119"/>
      <c r="FM240" s="119"/>
      <c r="FN240" s="119"/>
      <c r="FO240" s="119"/>
      <c r="FP240" s="119"/>
      <c r="FQ240" s="119"/>
      <c r="FR240" s="119"/>
      <c r="FS240" s="119"/>
      <c r="FT240" s="119"/>
      <c r="FU240" s="119"/>
      <c r="FV240" s="119"/>
      <c r="FW240" s="119"/>
      <c r="FX240" s="119"/>
      <c r="FY240" s="119"/>
      <c r="FZ240" s="119"/>
      <c r="GA240" s="119"/>
      <c r="GB240" s="119"/>
      <c r="GC240" s="119"/>
      <c r="GD240" s="119"/>
      <c r="GE240" s="119"/>
      <c r="GF240" s="119"/>
      <c r="GG240" s="119"/>
      <c r="GH240" s="119"/>
      <c r="GI240" s="119"/>
      <c r="GJ240" s="119"/>
      <c r="GK240" s="119"/>
      <c r="GL240" s="119"/>
      <c r="GM240" s="119"/>
      <c r="GN240" s="119"/>
      <c r="GO240" s="119"/>
      <c r="GP240" s="119"/>
      <c r="GQ240" s="119"/>
      <c r="GR240" s="119"/>
      <c r="GS240" s="119"/>
      <c r="GT240" s="119"/>
      <c r="GU240" s="119"/>
      <c r="GV240" s="119"/>
      <c r="GW240" s="119"/>
      <c r="GX240" s="119"/>
      <c r="GY240" s="119"/>
      <c r="GZ240" s="119"/>
      <c r="HA240" s="119"/>
      <c r="HB240" s="119"/>
      <c r="HC240" s="119"/>
      <c r="HD240" s="119"/>
      <c r="HE240" s="119"/>
      <c r="HF240" s="119"/>
      <c r="HG240" s="119"/>
      <c r="HH240" s="119"/>
      <c r="HI240" s="119"/>
      <c r="HJ240" s="119"/>
      <c r="HK240" s="119"/>
      <c r="HL240" s="119"/>
      <c r="HM240" s="119"/>
      <c r="HN240" s="119"/>
      <c r="HO240" s="119"/>
      <c r="HP240" s="119"/>
      <c r="HQ240" s="119"/>
      <c r="HR240" s="119"/>
      <c r="HS240" s="119"/>
      <c r="HT240" s="119"/>
      <c r="HU240" s="119"/>
      <c r="HV240" s="119"/>
      <c r="HW240" s="119"/>
      <c r="HX240" s="119"/>
      <c r="HY240" s="119"/>
      <c r="HZ240" s="119"/>
      <c r="IA240" s="119"/>
      <c r="IB240" s="119"/>
      <c r="IC240" s="119"/>
      <c r="ID240" s="119"/>
      <c r="IE240" s="119"/>
      <c r="IF240" s="119"/>
      <c r="IG240" s="119"/>
      <c r="IH240" s="119"/>
      <c r="II240" s="119"/>
      <c r="IJ240" s="119"/>
      <c r="IK240" s="119"/>
      <c r="IL240" s="119"/>
      <c r="IM240" s="119"/>
      <c r="IN240" s="119"/>
      <c r="IO240" s="119"/>
      <c r="IP240" s="119"/>
      <c r="IQ240" s="119"/>
      <c r="IR240" s="119"/>
      <c r="IS240" s="119"/>
      <c r="IT240" s="119"/>
      <c r="IU240" s="119"/>
      <c r="IV240" s="119"/>
      <c r="IW240" s="119"/>
      <c r="IX240" s="119"/>
      <c r="IY240" s="119"/>
    </row>
    <row r="241" spans="20:259" x14ac:dyDescent="0.2">
      <c r="T241" s="119"/>
      <c r="W241" s="119"/>
      <c r="Z241" s="119"/>
      <c r="AC241" s="119"/>
      <c r="AF241" s="119"/>
      <c r="AI241" s="119"/>
      <c r="AL241" s="119"/>
      <c r="AO241" s="119"/>
      <c r="AR241" s="119"/>
      <c r="AU241" s="119"/>
      <c r="AX241" s="119"/>
      <c r="BA241" s="119"/>
      <c r="BD241" s="119"/>
      <c r="BG241" s="119"/>
      <c r="BJ241" s="119"/>
      <c r="BM241" s="119"/>
      <c r="BP241" s="119"/>
      <c r="BS241" s="119"/>
      <c r="BV241" s="119"/>
      <c r="BY241" s="119"/>
      <c r="EQ241" s="119"/>
      <c r="ER241" s="119"/>
      <c r="ES241" s="119"/>
      <c r="ET241" s="119"/>
      <c r="EU241" s="119"/>
      <c r="EV241" s="119"/>
      <c r="EW241" s="119"/>
      <c r="EX241" s="119"/>
      <c r="EY241" s="119"/>
      <c r="EZ241" s="119"/>
      <c r="FA241" s="119"/>
      <c r="FB241" s="119"/>
      <c r="FC241" s="119"/>
      <c r="FD241" s="119"/>
      <c r="FE241" s="119"/>
      <c r="FF241" s="119"/>
      <c r="FG241" s="119"/>
      <c r="FH241" s="119"/>
      <c r="FI241" s="119"/>
      <c r="FJ241" s="119"/>
      <c r="FK241" s="119"/>
      <c r="FL241" s="119"/>
      <c r="FM241" s="119"/>
      <c r="FN241" s="119"/>
      <c r="FO241" s="119"/>
      <c r="FP241" s="119"/>
      <c r="FQ241" s="119"/>
      <c r="FR241" s="119"/>
      <c r="FS241" s="119"/>
      <c r="FT241" s="119"/>
      <c r="FU241" s="119"/>
      <c r="FV241" s="119"/>
      <c r="FW241" s="119"/>
      <c r="FX241" s="119"/>
      <c r="FY241" s="119"/>
      <c r="FZ241" s="119"/>
      <c r="GA241" s="119"/>
      <c r="GB241" s="119"/>
      <c r="GC241" s="119"/>
      <c r="GD241" s="119"/>
      <c r="GE241" s="119"/>
      <c r="GF241" s="119"/>
      <c r="GG241" s="119"/>
      <c r="GH241" s="119"/>
      <c r="GI241" s="119"/>
      <c r="GJ241" s="119"/>
      <c r="GK241" s="119"/>
      <c r="GL241" s="119"/>
      <c r="GM241" s="119"/>
      <c r="GN241" s="119"/>
      <c r="GO241" s="119"/>
      <c r="GP241" s="119"/>
      <c r="GQ241" s="119"/>
      <c r="GR241" s="119"/>
      <c r="GS241" s="119"/>
      <c r="GT241" s="119"/>
      <c r="GU241" s="119"/>
      <c r="GV241" s="119"/>
      <c r="GW241" s="119"/>
      <c r="GX241" s="119"/>
      <c r="GY241" s="119"/>
      <c r="GZ241" s="119"/>
      <c r="HA241" s="119"/>
      <c r="HB241" s="119"/>
      <c r="HC241" s="119"/>
      <c r="HD241" s="119"/>
      <c r="HE241" s="119"/>
      <c r="HF241" s="119"/>
      <c r="HG241" s="119"/>
      <c r="HH241" s="119"/>
      <c r="HI241" s="119"/>
      <c r="HJ241" s="119"/>
      <c r="HK241" s="119"/>
      <c r="HL241" s="119"/>
      <c r="HM241" s="119"/>
      <c r="HN241" s="119"/>
      <c r="HO241" s="119"/>
      <c r="HP241" s="119"/>
      <c r="HQ241" s="119"/>
      <c r="HR241" s="119"/>
      <c r="HS241" s="119"/>
      <c r="HT241" s="119"/>
      <c r="HU241" s="119"/>
      <c r="HV241" s="119"/>
      <c r="HW241" s="119"/>
      <c r="HX241" s="119"/>
      <c r="HY241" s="119"/>
      <c r="HZ241" s="119"/>
      <c r="IA241" s="119"/>
      <c r="IB241" s="119"/>
      <c r="IC241" s="119"/>
      <c r="ID241" s="119"/>
      <c r="IE241" s="119"/>
      <c r="IF241" s="119"/>
      <c r="IG241" s="119"/>
      <c r="IH241" s="119"/>
      <c r="II241" s="119"/>
      <c r="IJ241" s="119"/>
      <c r="IK241" s="119"/>
      <c r="IL241" s="119"/>
      <c r="IM241" s="119"/>
      <c r="IN241" s="119"/>
      <c r="IO241" s="119"/>
      <c r="IP241" s="119"/>
      <c r="IQ241" s="119"/>
      <c r="IR241" s="119"/>
      <c r="IS241" s="119"/>
      <c r="IT241" s="119"/>
      <c r="IU241" s="119"/>
      <c r="IV241" s="119"/>
      <c r="IW241" s="119"/>
      <c r="IX241" s="119"/>
      <c r="IY241" s="119"/>
    </row>
    <row r="242" spans="20:259" x14ac:dyDescent="0.2">
      <c r="T242" s="119"/>
      <c r="W242" s="119"/>
      <c r="Z242" s="119"/>
      <c r="AC242" s="119"/>
      <c r="AF242" s="119"/>
      <c r="AI242" s="119"/>
      <c r="AL242" s="119"/>
      <c r="AO242" s="119"/>
      <c r="AR242" s="119"/>
      <c r="AU242" s="119"/>
      <c r="AX242" s="119"/>
      <c r="BA242" s="119"/>
      <c r="BD242" s="119"/>
      <c r="BG242" s="119"/>
      <c r="BJ242" s="119"/>
      <c r="BM242" s="119"/>
      <c r="BP242" s="119"/>
      <c r="BS242" s="119"/>
      <c r="BV242" s="119"/>
      <c r="BY242" s="119"/>
      <c r="EQ242" s="119"/>
      <c r="ER242" s="119"/>
      <c r="ES242" s="119"/>
      <c r="ET242" s="119"/>
      <c r="EU242" s="119"/>
      <c r="EV242" s="119"/>
      <c r="EW242" s="119"/>
      <c r="EX242" s="119"/>
      <c r="EY242" s="119"/>
      <c r="EZ242" s="119"/>
      <c r="FA242" s="119"/>
      <c r="FB242" s="119"/>
      <c r="FC242" s="119"/>
      <c r="FD242" s="119"/>
      <c r="FE242" s="119"/>
      <c r="FF242" s="119"/>
      <c r="FG242" s="119"/>
      <c r="FH242" s="119"/>
      <c r="FI242" s="119"/>
      <c r="FJ242" s="119"/>
      <c r="FK242" s="119"/>
      <c r="FL242" s="119"/>
      <c r="FM242" s="119"/>
      <c r="FN242" s="119"/>
      <c r="FO242" s="119"/>
      <c r="FP242" s="119"/>
      <c r="FQ242" s="119"/>
      <c r="FR242" s="119"/>
      <c r="FS242" s="119"/>
      <c r="FT242" s="119"/>
      <c r="FU242" s="119"/>
      <c r="FV242" s="119"/>
      <c r="FW242" s="119"/>
      <c r="FX242" s="119"/>
      <c r="FY242" s="119"/>
      <c r="FZ242" s="119"/>
      <c r="GA242" s="119"/>
      <c r="GB242" s="119"/>
      <c r="GC242" s="119"/>
      <c r="GD242" s="119"/>
      <c r="GE242" s="119"/>
      <c r="GF242" s="119"/>
      <c r="GG242" s="119"/>
      <c r="GH242" s="119"/>
      <c r="GI242" s="119"/>
      <c r="GJ242" s="119"/>
      <c r="GK242" s="119"/>
      <c r="GL242" s="119"/>
      <c r="GM242" s="119"/>
      <c r="GN242" s="119"/>
      <c r="GO242" s="119"/>
      <c r="GP242" s="119"/>
      <c r="GQ242" s="119"/>
      <c r="GR242" s="119"/>
      <c r="GS242" s="119"/>
      <c r="GT242" s="119"/>
      <c r="GU242" s="119"/>
      <c r="GV242" s="119"/>
      <c r="GW242" s="119"/>
      <c r="GX242" s="119"/>
      <c r="GY242" s="119"/>
      <c r="GZ242" s="119"/>
      <c r="HA242" s="119"/>
      <c r="HB242" s="119"/>
      <c r="HC242" s="119"/>
      <c r="HD242" s="119"/>
      <c r="HE242" s="119"/>
      <c r="HF242" s="119"/>
      <c r="HG242" s="119"/>
      <c r="HH242" s="119"/>
      <c r="HI242" s="119"/>
      <c r="HJ242" s="119"/>
      <c r="HK242" s="119"/>
      <c r="HL242" s="119"/>
      <c r="HM242" s="119"/>
      <c r="HN242" s="119"/>
      <c r="HO242" s="119"/>
      <c r="HP242" s="119"/>
      <c r="HQ242" s="119"/>
      <c r="HR242" s="119"/>
      <c r="HS242" s="119"/>
      <c r="HT242" s="119"/>
      <c r="HU242" s="119"/>
      <c r="HV242" s="119"/>
      <c r="HW242" s="119"/>
      <c r="HX242" s="119"/>
      <c r="HY242" s="119"/>
      <c r="HZ242" s="119"/>
      <c r="IA242" s="119"/>
      <c r="IB242" s="119"/>
      <c r="IC242" s="119"/>
      <c r="ID242" s="119"/>
      <c r="IE242" s="119"/>
      <c r="IF242" s="119"/>
      <c r="IG242" s="119"/>
      <c r="IH242" s="119"/>
      <c r="II242" s="119"/>
      <c r="IJ242" s="119"/>
      <c r="IK242" s="119"/>
      <c r="IL242" s="119"/>
      <c r="IM242" s="119"/>
      <c r="IN242" s="119"/>
      <c r="IO242" s="119"/>
      <c r="IP242" s="119"/>
      <c r="IQ242" s="119"/>
      <c r="IR242" s="119"/>
      <c r="IS242" s="119"/>
      <c r="IT242" s="119"/>
      <c r="IU242" s="119"/>
      <c r="IV242" s="119"/>
      <c r="IW242" s="119"/>
      <c r="IX242" s="119"/>
      <c r="IY242" s="119"/>
    </row>
    <row r="243" spans="20:259" x14ac:dyDescent="0.2">
      <c r="T243" s="119"/>
      <c r="W243" s="119"/>
      <c r="Z243" s="119"/>
      <c r="AC243" s="119"/>
      <c r="AF243" s="119"/>
      <c r="AI243" s="119"/>
      <c r="AL243" s="119"/>
      <c r="AO243" s="119"/>
      <c r="AR243" s="119"/>
      <c r="AU243" s="119"/>
      <c r="AX243" s="119"/>
      <c r="BA243" s="119"/>
      <c r="BD243" s="119"/>
      <c r="BG243" s="119"/>
      <c r="BJ243" s="119"/>
      <c r="BM243" s="119"/>
      <c r="BP243" s="119"/>
      <c r="BS243" s="119"/>
      <c r="BV243" s="119"/>
      <c r="BY243" s="119"/>
      <c r="EQ243" s="119"/>
      <c r="ER243" s="119"/>
      <c r="ES243" s="119"/>
      <c r="ET243" s="119"/>
      <c r="EU243" s="119"/>
      <c r="EV243" s="119"/>
      <c r="EW243" s="119"/>
      <c r="EX243" s="119"/>
      <c r="EY243" s="119"/>
      <c r="EZ243" s="119"/>
      <c r="FA243" s="119"/>
      <c r="FB243" s="119"/>
      <c r="FC243" s="119"/>
      <c r="FD243" s="119"/>
      <c r="FE243" s="119"/>
      <c r="FF243" s="119"/>
      <c r="FG243" s="119"/>
      <c r="FH243" s="119"/>
      <c r="FI243" s="119"/>
      <c r="FJ243" s="119"/>
      <c r="FK243" s="119"/>
      <c r="FL243" s="119"/>
      <c r="FM243" s="119"/>
      <c r="FN243" s="119"/>
      <c r="FO243" s="119"/>
      <c r="FP243" s="119"/>
      <c r="FQ243" s="119"/>
      <c r="FR243" s="119"/>
      <c r="FS243" s="119"/>
      <c r="FT243" s="119"/>
      <c r="FU243" s="119"/>
      <c r="FV243" s="119"/>
      <c r="FW243" s="119"/>
      <c r="FX243" s="119"/>
      <c r="FY243" s="119"/>
      <c r="FZ243" s="119"/>
      <c r="GA243" s="119"/>
      <c r="GB243" s="119"/>
      <c r="GC243" s="119"/>
      <c r="GD243" s="119"/>
      <c r="GE243" s="119"/>
      <c r="GF243" s="119"/>
      <c r="GG243" s="119"/>
      <c r="GH243" s="119"/>
      <c r="GI243" s="119"/>
      <c r="GJ243" s="119"/>
      <c r="GK243" s="119"/>
      <c r="GL243" s="119"/>
      <c r="GM243" s="119"/>
      <c r="GN243" s="119"/>
      <c r="GO243" s="119"/>
      <c r="GP243" s="119"/>
      <c r="GQ243" s="119"/>
      <c r="GR243" s="119"/>
      <c r="GS243" s="119"/>
      <c r="GT243" s="119"/>
      <c r="GU243" s="119"/>
      <c r="GV243" s="119"/>
      <c r="GW243" s="119"/>
      <c r="GX243" s="119"/>
      <c r="GY243" s="119"/>
      <c r="GZ243" s="119"/>
      <c r="HA243" s="119"/>
      <c r="HB243" s="119"/>
      <c r="HC243" s="119"/>
      <c r="HD243" s="119"/>
      <c r="HE243" s="119"/>
      <c r="HF243" s="119"/>
      <c r="HG243" s="119"/>
      <c r="HH243" s="119"/>
      <c r="HI243" s="119"/>
      <c r="HJ243" s="119"/>
      <c r="HK243" s="119"/>
      <c r="HL243" s="119"/>
      <c r="HM243" s="119"/>
      <c r="HN243" s="119"/>
      <c r="HO243" s="119"/>
      <c r="HP243" s="119"/>
      <c r="HQ243" s="119"/>
      <c r="HR243" s="119"/>
      <c r="HS243" s="119"/>
      <c r="HT243" s="119"/>
      <c r="HU243" s="119"/>
      <c r="HV243" s="119"/>
      <c r="HW243" s="119"/>
      <c r="HX243" s="119"/>
      <c r="HY243" s="119"/>
      <c r="HZ243" s="119"/>
      <c r="IA243" s="119"/>
      <c r="IB243" s="119"/>
      <c r="IC243" s="119"/>
      <c r="ID243" s="119"/>
      <c r="IE243" s="119"/>
      <c r="IF243" s="119"/>
      <c r="IG243" s="119"/>
      <c r="IH243" s="119"/>
      <c r="II243" s="119"/>
      <c r="IJ243" s="119"/>
      <c r="IK243" s="119"/>
      <c r="IL243" s="119"/>
      <c r="IM243" s="119"/>
      <c r="IN243" s="119"/>
      <c r="IO243" s="119"/>
      <c r="IP243" s="119"/>
      <c r="IQ243" s="119"/>
      <c r="IR243" s="119"/>
      <c r="IS243" s="119"/>
      <c r="IT243" s="119"/>
      <c r="IU243" s="119"/>
      <c r="IV243" s="119"/>
      <c r="IW243" s="119"/>
      <c r="IX243" s="119"/>
      <c r="IY243" s="119"/>
    </row>
    <row r="244" spans="20:259" x14ac:dyDescent="0.2">
      <c r="T244" s="119"/>
      <c r="W244" s="119"/>
      <c r="Z244" s="119"/>
      <c r="AC244" s="119"/>
      <c r="AF244" s="119"/>
      <c r="AI244" s="119"/>
      <c r="AL244" s="119"/>
      <c r="AO244" s="119"/>
      <c r="AR244" s="119"/>
      <c r="AU244" s="119"/>
      <c r="AX244" s="119"/>
      <c r="BA244" s="119"/>
      <c r="BD244" s="119"/>
      <c r="BG244" s="119"/>
      <c r="BJ244" s="119"/>
      <c r="BM244" s="119"/>
      <c r="BP244" s="119"/>
      <c r="BS244" s="119"/>
      <c r="BV244" s="119"/>
      <c r="BY244" s="119"/>
      <c r="EQ244" s="119"/>
      <c r="ER244" s="119"/>
      <c r="ES244" s="119"/>
      <c r="ET244" s="119"/>
      <c r="EU244" s="119"/>
      <c r="EV244" s="119"/>
      <c r="EW244" s="119"/>
      <c r="EX244" s="119"/>
      <c r="EY244" s="119"/>
      <c r="EZ244" s="119"/>
      <c r="FA244" s="119"/>
      <c r="FB244" s="119"/>
      <c r="FC244" s="119"/>
      <c r="FD244" s="119"/>
      <c r="FE244" s="119"/>
      <c r="FF244" s="119"/>
      <c r="FG244" s="119"/>
      <c r="FH244" s="119"/>
      <c r="FI244" s="119"/>
      <c r="FJ244" s="119"/>
      <c r="FK244" s="119"/>
      <c r="FL244" s="119"/>
      <c r="FM244" s="119"/>
      <c r="FN244" s="119"/>
      <c r="FO244" s="119"/>
      <c r="FP244" s="119"/>
      <c r="FQ244" s="119"/>
      <c r="FR244" s="119"/>
      <c r="FS244" s="119"/>
      <c r="FT244" s="119"/>
      <c r="FU244" s="119"/>
      <c r="FV244" s="119"/>
      <c r="FW244" s="119"/>
      <c r="FX244" s="119"/>
      <c r="FY244" s="119"/>
      <c r="FZ244" s="119"/>
      <c r="GA244" s="119"/>
      <c r="GB244" s="119"/>
      <c r="GC244" s="119"/>
      <c r="GD244" s="119"/>
      <c r="GE244" s="119"/>
      <c r="GF244" s="119"/>
      <c r="GG244" s="119"/>
      <c r="GH244" s="119"/>
      <c r="GI244" s="119"/>
      <c r="GJ244" s="119"/>
      <c r="GK244" s="119"/>
      <c r="GL244" s="119"/>
      <c r="GM244" s="119"/>
      <c r="GN244" s="119"/>
      <c r="GO244" s="119"/>
      <c r="GP244" s="119"/>
      <c r="GQ244" s="119"/>
      <c r="GR244" s="119"/>
      <c r="GS244" s="119"/>
      <c r="GT244" s="119"/>
      <c r="GU244" s="119"/>
      <c r="GV244" s="119"/>
      <c r="GW244" s="119"/>
      <c r="GX244" s="119"/>
      <c r="GY244" s="119"/>
      <c r="GZ244" s="119"/>
      <c r="HA244" s="119"/>
      <c r="HB244" s="119"/>
      <c r="HC244" s="119"/>
      <c r="HD244" s="119"/>
      <c r="HE244" s="119"/>
      <c r="HF244" s="119"/>
      <c r="HG244" s="119"/>
      <c r="HH244" s="119"/>
      <c r="HI244" s="119"/>
      <c r="HJ244" s="119"/>
      <c r="HK244" s="119"/>
      <c r="HL244" s="119"/>
      <c r="HM244" s="119"/>
      <c r="HN244" s="119"/>
      <c r="HO244" s="119"/>
      <c r="HP244" s="119"/>
      <c r="HQ244" s="119"/>
      <c r="HR244" s="119"/>
      <c r="HS244" s="119"/>
      <c r="HT244" s="119"/>
      <c r="HU244" s="119"/>
      <c r="HV244" s="119"/>
      <c r="HW244" s="119"/>
      <c r="HX244" s="119"/>
      <c r="HY244" s="119"/>
      <c r="HZ244" s="119"/>
      <c r="IA244" s="119"/>
      <c r="IB244" s="119"/>
      <c r="IC244" s="119"/>
      <c r="ID244" s="119"/>
      <c r="IE244" s="119"/>
      <c r="IF244" s="119"/>
      <c r="IG244" s="119"/>
      <c r="IH244" s="119"/>
      <c r="II244" s="119"/>
      <c r="IJ244" s="119"/>
      <c r="IK244" s="119"/>
      <c r="IL244" s="119"/>
      <c r="IM244" s="119"/>
      <c r="IN244" s="119"/>
      <c r="IO244" s="119"/>
      <c r="IP244" s="119"/>
      <c r="IQ244" s="119"/>
      <c r="IR244" s="119"/>
      <c r="IS244" s="119"/>
      <c r="IT244" s="119"/>
      <c r="IU244" s="119"/>
      <c r="IV244" s="119"/>
      <c r="IW244" s="119"/>
      <c r="IX244" s="119"/>
      <c r="IY244" s="119"/>
    </row>
    <row r="245" spans="20:259" x14ac:dyDescent="0.2">
      <c r="T245" s="119"/>
      <c r="W245" s="119"/>
      <c r="Z245" s="119"/>
      <c r="AC245" s="119"/>
      <c r="AF245" s="119"/>
      <c r="AI245" s="119"/>
      <c r="AL245" s="119"/>
      <c r="AO245" s="119"/>
      <c r="AR245" s="119"/>
      <c r="AU245" s="119"/>
      <c r="AX245" s="119"/>
      <c r="BA245" s="119"/>
      <c r="BD245" s="119"/>
      <c r="BG245" s="119"/>
      <c r="BJ245" s="119"/>
      <c r="BM245" s="119"/>
      <c r="BP245" s="119"/>
      <c r="BS245" s="119"/>
      <c r="BV245" s="119"/>
      <c r="BY245" s="119"/>
      <c r="EQ245" s="119"/>
      <c r="ER245" s="119"/>
      <c r="ES245" s="119"/>
      <c r="ET245" s="119"/>
      <c r="EU245" s="119"/>
      <c r="EV245" s="119"/>
      <c r="EW245" s="119"/>
      <c r="EX245" s="119"/>
      <c r="EY245" s="119"/>
      <c r="EZ245" s="119"/>
      <c r="FA245" s="119"/>
      <c r="FB245" s="119"/>
      <c r="FC245" s="119"/>
      <c r="FD245" s="119"/>
      <c r="FE245" s="119"/>
      <c r="FF245" s="119"/>
      <c r="FG245" s="119"/>
      <c r="FH245" s="119"/>
      <c r="FI245" s="119"/>
      <c r="FJ245" s="119"/>
      <c r="FK245" s="119"/>
      <c r="FL245" s="119"/>
      <c r="FM245" s="119"/>
      <c r="FN245" s="119"/>
      <c r="FO245" s="119"/>
      <c r="FP245" s="119"/>
      <c r="FQ245" s="119"/>
      <c r="FR245" s="119"/>
      <c r="FS245" s="119"/>
      <c r="FT245" s="119"/>
      <c r="FU245" s="119"/>
      <c r="FV245" s="119"/>
      <c r="FW245" s="119"/>
      <c r="FX245" s="119"/>
      <c r="FY245" s="119"/>
      <c r="FZ245" s="119"/>
      <c r="GA245" s="119"/>
      <c r="GB245" s="119"/>
      <c r="GC245" s="119"/>
      <c r="GD245" s="119"/>
      <c r="GE245" s="119"/>
      <c r="GF245" s="119"/>
      <c r="GG245" s="119"/>
      <c r="GH245" s="119"/>
      <c r="GI245" s="119"/>
      <c r="GJ245" s="119"/>
      <c r="GK245" s="119"/>
      <c r="GL245" s="119"/>
      <c r="GM245" s="119"/>
      <c r="GN245" s="119"/>
      <c r="GO245" s="119"/>
      <c r="GP245" s="119"/>
      <c r="GQ245" s="119"/>
      <c r="GR245" s="119"/>
      <c r="GS245" s="119"/>
      <c r="GT245" s="119"/>
      <c r="GU245" s="119"/>
      <c r="GV245" s="119"/>
      <c r="GW245" s="119"/>
      <c r="GX245" s="119"/>
      <c r="GY245" s="119"/>
      <c r="GZ245" s="119"/>
      <c r="HA245" s="119"/>
      <c r="HB245" s="119"/>
      <c r="HC245" s="119"/>
      <c r="HD245" s="119"/>
      <c r="HE245" s="119"/>
      <c r="HF245" s="119"/>
      <c r="HG245" s="119"/>
      <c r="HH245" s="119"/>
      <c r="HI245" s="119"/>
      <c r="HJ245" s="119"/>
      <c r="HK245" s="119"/>
      <c r="HL245" s="119"/>
      <c r="HM245" s="119"/>
      <c r="HN245" s="119"/>
      <c r="HO245" s="119"/>
      <c r="HP245" s="119"/>
      <c r="HQ245" s="119"/>
      <c r="HR245" s="119"/>
      <c r="HS245" s="119"/>
      <c r="HT245" s="119"/>
      <c r="HU245" s="119"/>
      <c r="HV245" s="119"/>
      <c r="HW245" s="119"/>
      <c r="HX245" s="119"/>
      <c r="HY245" s="119"/>
      <c r="HZ245" s="119"/>
      <c r="IA245" s="119"/>
      <c r="IB245" s="119"/>
      <c r="IC245" s="119"/>
      <c r="ID245" s="119"/>
      <c r="IE245" s="119"/>
      <c r="IF245" s="119"/>
      <c r="IG245" s="119"/>
      <c r="IH245" s="119"/>
      <c r="II245" s="119"/>
      <c r="IJ245" s="119"/>
      <c r="IK245" s="119"/>
      <c r="IL245" s="119"/>
      <c r="IM245" s="119"/>
      <c r="IN245" s="119"/>
      <c r="IO245" s="119"/>
      <c r="IP245" s="119"/>
      <c r="IQ245" s="119"/>
      <c r="IR245" s="119"/>
      <c r="IS245" s="119"/>
      <c r="IT245" s="119"/>
      <c r="IU245" s="119"/>
      <c r="IV245" s="119"/>
      <c r="IW245" s="119"/>
      <c r="IX245" s="119"/>
      <c r="IY245" s="119"/>
    </row>
    <row r="246" spans="20:259" x14ac:dyDescent="0.2">
      <c r="T246" s="119"/>
      <c r="W246" s="119"/>
      <c r="Z246" s="119"/>
      <c r="AC246" s="119"/>
      <c r="AF246" s="119"/>
      <c r="AI246" s="119"/>
      <c r="AL246" s="119"/>
      <c r="AO246" s="119"/>
      <c r="AR246" s="119"/>
      <c r="AU246" s="119"/>
      <c r="AX246" s="119"/>
      <c r="BA246" s="119"/>
      <c r="BD246" s="119"/>
      <c r="BG246" s="119"/>
      <c r="BJ246" s="119"/>
      <c r="BM246" s="119"/>
      <c r="BP246" s="119"/>
      <c r="BS246" s="119"/>
      <c r="BV246" s="119"/>
      <c r="BY246" s="119"/>
      <c r="EQ246" s="119"/>
      <c r="ER246" s="119"/>
      <c r="ES246" s="119"/>
      <c r="ET246" s="119"/>
      <c r="EU246" s="119"/>
      <c r="EV246" s="119"/>
      <c r="EW246" s="119"/>
      <c r="EX246" s="119"/>
      <c r="EY246" s="119"/>
      <c r="EZ246" s="119"/>
      <c r="FA246" s="119"/>
      <c r="FB246" s="119"/>
      <c r="FC246" s="119"/>
      <c r="FD246" s="119"/>
      <c r="FE246" s="119"/>
      <c r="FF246" s="119"/>
      <c r="FG246" s="119"/>
      <c r="FH246" s="119"/>
      <c r="FI246" s="119"/>
      <c r="FJ246" s="119"/>
      <c r="FK246" s="119"/>
      <c r="FL246" s="119"/>
      <c r="FM246" s="119"/>
      <c r="FN246" s="119"/>
      <c r="FO246" s="119"/>
      <c r="FP246" s="119"/>
      <c r="FQ246" s="119"/>
      <c r="FR246" s="119"/>
      <c r="FS246" s="119"/>
      <c r="FT246" s="119"/>
      <c r="FU246" s="119"/>
      <c r="FV246" s="119"/>
      <c r="FW246" s="119"/>
      <c r="FX246" s="119"/>
      <c r="FY246" s="119"/>
      <c r="FZ246" s="119"/>
      <c r="GA246" s="119"/>
      <c r="GB246" s="119"/>
      <c r="GC246" s="119"/>
      <c r="GD246" s="119"/>
      <c r="GE246" s="119"/>
      <c r="GF246" s="119"/>
      <c r="GG246" s="119"/>
      <c r="GH246" s="119"/>
      <c r="GI246" s="119"/>
      <c r="GJ246" s="119"/>
      <c r="GK246" s="119"/>
      <c r="GL246" s="119"/>
      <c r="GM246" s="119"/>
      <c r="GN246" s="119"/>
      <c r="GO246" s="119"/>
      <c r="GP246" s="119"/>
      <c r="GQ246" s="119"/>
      <c r="GR246" s="119"/>
      <c r="GS246" s="119"/>
      <c r="GT246" s="119"/>
      <c r="GU246" s="119"/>
      <c r="GV246" s="119"/>
      <c r="GW246" s="119"/>
      <c r="GX246" s="119"/>
      <c r="GY246" s="119"/>
      <c r="GZ246" s="119"/>
      <c r="HA246" s="119"/>
      <c r="HB246" s="119"/>
      <c r="HC246" s="119"/>
      <c r="HD246" s="119"/>
      <c r="HE246" s="119"/>
      <c r="HF246" s="119"/>
      <c r="HG246" s="119"/>
      <c r="HH246" s="119"/>
      <c r="HI246" s="119"/>
      <c r="HJ246" s="119"/>
      <c r="HK246" s="119"/>
      <c r="HL246" s="119"/>
      <c r="HM246" s="119"/>
      <c r="HN246" s="119"/>
      <c r="HO246" s="119"/>
      <c r="HP246" s="119"/>
      <c r="HQ246" s="119"/>
      <c r="HR246" s="119"/>
      <c r="HS246" s="119"/>
      <c r="HT246" s="119"/>
      <c r="HU246" s="119"/>
      <c r="HV246" s="119"/>
      <c r="HW246" s="119"/>
      <c r="HX246" s="119"/>
      <c r="HY246" s="119"/>
      <c r="HZ246" s="119"/>
      <c r="IA246" s="119"/>
      <c r="IB246" s="119"/>
      <c r="IC246" s="119"/>
      <c r="ID246" s="119"/>
      <c r="IE246" s="119"/>
      <c r="IF246" s="119"/>
      <c r="IG246" s="119"/>
      <c r="IH246" s="119"/>
      <c r="II246" s="119"/>
      <c r="IJ246" s="119"/>
      <c r="IK246" s="119"/>
      <c r="IL246" s="119"/>
      <c r="IM246" s="119"/>
      <c r="IN246" s="119"/>
      <c r="IO246" s="119"/>
      <c r="IP246" s="119"/>
      <c r="IQ246" s="119"/>
      <c r="IR246" s="119"/>
      <c r="IS246" s="119"/>
      <c r="IT246" s="119"/>
      <c r="IU246" s="119"/>
      <c r="IV246" s="119"/>
      <c r="IW246" s="119"/>
      <c r="IX246" s="119"/>
      <c r="IY246" s="119"/>
    </row>
    <row r="247" spans="20:259" x14ac:dyDescent="0.2">
      <c r="T247" s="119"/>
      <c r="W247" s="119"/>
      <c r="Z247" s="119"/>
      <c r="AC247" s="119"/>
      <c r="AF247" s="119"/>
      <c r="AI247" s="119"/>
      <c r="AL247" s="119"/>
      <c r="AO247" s="119"/>
      <c r="AR247" s="119"/>
      <c r="AU247" s="119"/>
      <c r="AX247" s="119"/>
      <c r="BA247" s="119"/>
      <c r="BD247" s="119"/>
      <c r="BG247" s="119"/>
      <c r="BJ247" s="119"/>
      <c r="BM247" s="119"/>
      <c r="BP247" s="119"/>
      <c r="BS247" s="119"/>
      <c r="BV247" s="119"/>
      <c r="BY247" s="119"/>
      <c r="EQ247" s="119"/>
      <c r="ER247" s="119"/>
      <c r="ES247" s="119"/>
      <c r="ET247" s="119"/>
      <c r="EU247" s="119"/>
      <c r="EV247" s="119"/>
      <c r="EW247" s="119"/>
      <c r="EX247" s="119"/>
      <c r="EY247" s="119"/>
      <c r="EZ247" s="119"/>
      <c r="FA247" s="119"/>
      <c r="FB247" s="119"/>
      <c r="FC247" s="119"/>
      <c r="FD247" s="119"/>
      <c r="FE247" s="119"/>
      <c r="FF247" s="119"/>
      <c r="FG247" s="119"/>
      <c r="FH247" s="119"/>
      <c r="FI247" s="119"/>
      <c r="FJ247" s="119"/>
      <c r="FK247" s="119"/>
      <c r="FL247" s="119"/>
      <c r="FM247" s="119"/>
      <c r="FN247" s="119"/>
      <c r="FO247" s="119"/>
      <c r="FP247" s="119"/>
      <c r="FQ247" s="119"/>
      <c r="FR247" s="119"/>
      <c r="FS247" s="119"/>
      <c r="FT247" s="119"/>
      <c r="FU247" s="119"/>
      <c r="FV247" s="119"/>
      <c r="FW247" s="119"/>
      <c r="FX247" s="119"/>
      <c r="FY247" s="119"/>
      <c r="FZ247" s="119"/>
      <c r="GA247" s="119"/>
      <c r="GB247" s="119"/>
      <c r="GC247" s="119"/>
      <c r="GD247" s="119"/>
      <c r="GE247" s="119"/>
      <c r="GF247" s="119"/>
      <c r="GG247" s="119"/>
      <c r="GH247" s="119"/>
      <c r="GI247" s="119"/>
      <c r="GJ247" s="119"/>
      <c r="GK247" s="119"/>
      <c r="GL247" s="119"/>
      <c r="GM247" s="119"/>
      <c r="GN247" s="119"/>
      <c r="GO247" s="119"/>
      <c r="GP247" s="119"/>
      <c r="GQ247" s="119"/>
      <c r="GR247" s="119"/>
      <c r="GS247" s="119"/>
      <c r="GT247" s="119"/>
      <c r="GU247" s="119"/>
      <c r="GV247" s="119"/>
      <c r="GW247" s="119"/>
      <c r="GX247" s="119"/>
      <c r="GY247" s="119"/>
      <c r="GZ247" s="119"/>
      <c r="HA247" s="119"/>
      <c r="HB247" s="119"/>
      <c r="HC247" s="119"/>
      <c r="HD247" s="119"/>
      <c r="HE247" s="119"/>
      <c r="HF247" s="119"/>
      <c r="HG247" s="119"/>
      <c r="HH247" s="119"/>
      <c r="HI247" s="119"/>
      <c r="HJ247" s="119"/>
      <c r="HK247" s="119"/>
      <c r="HL247" s="119"/>
      <c r="HM247" s="119"/>
      <c r="HN247" s="119"/>
      <c r="HO247" s="119"/>
      <c r="HP247" s="119"/>
      <c r="HQ247" s="119"/>
      <c r="HR247" s="119"/>
      <c r="HS247" s="119"/>
      <c r="HT247" s="119"/>
      <c r="HU247" s="119"/>
      <c r="HV247" s="119"/>
      <c r="HW247" s="119"/>
      <c r="HX247" s="119"/>
      <c r="HY247" s="119"/>
      <c r="HZ247" s="119"/>
      <c r="IA247" s="119"/>
      <c r="IB247" s="119"/>
      <c r="IC247" s="119"/>
      <c r="ID247" s="119"/>
      <c r="IE247" s="119"/>
      <c r="IF247" s="119"/>
      <c r="IG247" s="119"/>
      <c r="IH247" s="119"/>
      <c r="II247" s="119"/>
      <c r="IJ247" s="119"/>
      <c r="IK247" s="119"/>
      <c r="IL247" s="119"/>
      <c r="IM247" s="119"/>
      <c r="IN247" s="119"/>
      <c r="IO247" s="119"/>
      <c r="IP247" s="119"/>
      <c r="IQ247" s="119"/>
      <c r="IR247" s="119"/>
      <c r="IS247" s="119"/>
      <c r="IT247" s="119"/>
      <c r="IU247" s="119"/>
      <c r="IV247" s="119"/>
      <c r="IW247" s="119"/>
      <c r="IX247" s="119"/>
      <c r="IY247" s="119"/>
    </row>
    <row r="248" spans="20:259" x14ac:dyDescent="0.2">
      <c r="T248" s="119"/>
      <c r="W248" s="119"/>
      <c r="Z248" s="119"/>
      <c r="AC248" s="119"/>
      <c r="AF248" s="119"/>
      <c r="AI248" s="119"/>
      <c r="AL248" s="119"/>
      <c r="AO248" s="119"/>
      <c r="AR248" s="119"/>
      <c r="AU248" s="119"/>
      <c r="AX248" s="119"/>
      <c r="BA248" s="119"/>
      <c r="BD248" s="119"/>
      <c r="BG248" s="119"/>
      <c r="BJ248" s="119"/>
      <c r="BM248" s="119"/>
      <c r="BP248" s="119"/>
      <c r="BS248" s="119"/>
      <c r="BV248" s="119"/>
      <c r="BY248" s="119"/>
      <c r="EQ248" s="119"/>
      <c r="ER248" s="119"/>
      <c r="ES248" s="119"/>
      <c r="ET248" s="119"/>
      <c r="EU248" s="119"/>
      <c r="EV248" s="119"/>
      <c r="EW248" s="119"/>
      <c r="EX248" s="119"/>
      <c r="EY248" s="119"/>
      <c r="EZ248" s="119"/>
      <c r="FA248" s="119"/>
      <c r="FB248" s="119"/>
      <c r="FC248" s="119"/>
      <c r="FD248" s="119"/>
      <c r="FE248" s="119"/>
      <c r="FF248" s="119"/>
      <c r="FG248" s="119"/>
      <c r="FH248" s="119"/>
      <c r="FI248" s="119"/>
      <c r="FJ248" s="119"/>
      <c r="FK248" s="119"/>
      <c r="FL248" s="119"/>
      <c r="FM248" s="119"/>
      <c r="FN248" s="119"/>
      <c r="FO248" s="119"/>
      <c r="FP248" s="119"/>
      <c r="FQ248" s="119"/>
      <c r="FR248" s="119"/>
      <c r="FS248" s="119"/>
      <c r="FT248" s="119"/>
      <c r="FU248" s="119"/>
      <c r="FV248" s="119"/>
      <c r="FW248" s="119"/>
      <c r="FX248" s="119"/>
      <c r="FY248" s="119"/>
      <c r="FZ248" s="119"/>
      <c r="GA248" s="119"/>
      <c r="GB248" s="119"/>
      <c r="GC248" s="119"/>
      <c r="GD248" s="119"/>
      <c r="GE248" s="119"/>
      <c r="GF248" s="119"/>
      <c r="GG248" s="119"/>
      <c r="GH248" s="119"/>
      <c r="GI248" s="119"/>
      <c r="GJ248" s="119"/>
      <c r="GK248" s="119"/>
      <c r="GL248" s="119"/>
      <c r="GM248" s="119"/>
      <c r="GN248" s="119"/>
      <c r="GO248" s="119"/>
      <c r="GP248" s="119"/>
      <c r="GQ248" s="119"/>
      <c r="GR248" s="119"/>
      <c r="GS248" s="119"/>
      <c r="GT248" s="119"/>
      <c r="GU248" s="119"/>
      <c r="GV248" s="119"/>
      <c r="GW248" s="119"/>
      <c r="GX248" s="119"/>
      <c r="GY248" s="119"/>
      <c r="GZ248" s="119"/>
      <c r="HA248" s="119"/>
      <c r="HB248" s="119"/>
      <c r="HC248" s="119"/>
      <c r="HD248" s="119"/>
      <c r="HE248" s="119"/>
      <c r="HF248" s="119"/>
      <c r="HG248" s="119"/>
      <c r="HH248" s="119"/>
      <c r="HI248" s="119"/>
      <c r="HJ248" s="119"/>
      <c r="HK248" s="119"/>
      <c r="HL248" s="119"/>
      <c r="HM248" s="119"/>
      <c r="HN248" s="119"/>
      <c r="HO248" s="119"/>
      <c r="HP248" s="119"/>
      <c r="HQ248" s="119"/>
      <c r="HR248" s="119"/>
      <c r="HS248" s="119"/>
      <c r="HT248" s="119"/>
      <c r="HU248" s="119"/>
      <c r="HV248" s="119"/>
      <c r="HW248" s="119"/>
      <c r="HX248" s="119"/>
      <c r="HY248" s="119"/>
      <c r="HZ248" s="119"/>
      <c r="IA248" s="119"/>
      <c r="IB248" s="119"/>
      <c r="IC248" s="119"/>
      <c r="ID248" s="119"/>
      <c r="IE248" s="119"/>
      <c r="IF248" s="119"/>
      <c r="IG248" s="119"/>
      <c r="IH248" s="119"/>
      <c r="II248" s="119"/>
      <c r="IJ248" s="119"/>
      <c r="IK248" s="119"/>
      <c r="IL248" s="119"/>
      <c r="IM248" s="119"/>
      <c r="IN248" s="119"/>
      <c r="IO248" s="119"/>
      <c r="IP248" s="119"/>
      <c r="IQ248" s="119"/>
      <c r="IR248" s="119"/>
      <c r="IS248" s="119"/>
      <c r="IT248" s="119"/>
      <c r="IU248" s="119"/>
      <c r="IV248" s="119"/>
      <c r="IW248" s="119"/>
      <c r="IX248" s="119"/>
      <c r="IY248" s="119"/>
    </row>
    <row r="249" spans="20:259" x14ac:dyDescent="0.2">
      <c r="T249" s="119"/>
      <c r="W249" s="119"/>
      <c r="Z249" s="119"/>
      <c r="AC249" s="119"/>
      <c r="AF249" s="119"/>
      <c r="AI249" s="119"/>
      <c r="AL249" s="119"/>
      <c r="AO249" s="119"/>
      <c r="AR249" s="119"/>
      <c r="AU249" s="119"/>
      <c r="AX249" s="119"/>
      <c r="BA249" s="119"/>
      <c r="BD249" s="119"/>
      <c r="BG249" s="119"/>
      <c r="BJ249" s="119"/>
      <c r="BM249" s="119"/>
      <c r="BP249" s="119"/>
      <c r="BS249" s="119"/>
      <c r="BV249" s="119"/>
      <c r="BY249" s="119"/>
      <c r="EQ249" s="119"/>
      <c r="ER249" s="119"/>
      <c r="ES249" s="119"/>
      <c r="ET249" s="119"/>
      <c r="EU249" s="119"/>
      <c r="EV249" s="119"/>
      <c r="EW249" s="119"/>
      <c r="EX249" s="119"/>
      <c r="EY249" s="119"/>
      <c r="EZ249" s="119"/>
      <c r="FA249" s="119"/>
      <c r="FB249" s="119"/>
      <c r="FC249" s="119"/>
      <c r="FD249" s="119"/>
      <c r="FE249" s="119"/>
      <c r="FF249" s="119"/>
      <c r="FG249" s="119"/>
      <c r="FH249" s="119"/>
      <c r="FI249" s="119"/>
      <c r="FJ249" s="119"/>
      <c r="FK249" s="119"/>
      <c r="FL249" s="119"/>
      <c r="FM249" s="119"/>
      <c r="FN249" s="119"/>
      <c r="FO249" s="119"/>
      <c r="FP249" s="119"/>
      <c r="FQ249" s="119"/>
      <c r="FR249" s="119"/>
      <c r="FS249" s="119"/>
      <c r="FT249" s="119"/>
      <c r="FU249" s="119"/>
      <c r="FV249" s="119"/>
      <c r="FW249" s="119"/>
      <c r="FX249" s="119"/>
      <c r="FY249" s="119"/>
      <c r="FZ249" s="119"/>
      <c r="GA249" s="119"/>
      <c r="GB249" s="119"/>
      <c r="GC249" s="119"/>
      <c r="GD249" s="119"/>
      <c r="GE249" s="119"/>
      <c r="GF249" s="119"/>
      <c r="GG249" s="119"/>
      <c r="GH249" s="119"/>
      <c r="GI249" s="119"/>
      <c r="GJ249" s="119"/>
      <c r="GK249" s="119"/>
      <c r="GL249" s="119"/>
      <c r="GM249" s="119"/>
      <c r="GN249" s="119"/>
      <c r="GO249" s="119"/>
      <c r="GP249" s="119"/>
      <c r="GQ249" s="119"/>
      <c r="GR249" s="119"/>
      <c r="GS249" s="119"/>
      <c r="GT249" s="119"/>
      <c r="GU249" s="119"/>
      <c r="GV249" s="119"/>
      <c r="GW249" s="119"/>
      <c r="GX249" s="119"/>
      <c r="GY249" s="119"/>
      <c r="GZ249" s="119"/>
      <c r="HA249" s="119"/>
      <c r="HB249" s="119"/>
      <c r="HC249" s="119"/>
      <c r="HD249" s="119"/>
      <c r="HE249" s="119"/>
      <c r="HF249" s="119"/>
      <c r="HG249" s="119"/>
      <c r="HH249" s="119"/>
      <c r="HI249" s="119"/>
      <c r="HJ249" s="119"/>
      <c r="HK249" s="119"/>
      <c r="HL249" s="119"/>
      <c r="HM249" s="119"/>
      <c r="HN249" s="119"/>
      <c r="HO249" s="119"/>
      <c r="HP249" s="119"/>
      <c r="HQ249" s="119"/>
      <c r="HR249" s="119"/>
      <c r="HS249" s="119"/>
      <c r="HT249" s="119"/>
      <c r="HU249" s="119"/>
      <c r="HV249" s="119"/>
      <c r="HW249" s="119"/>
      <c r="HX249" s="119"/>
      <c r="HY249" s="119"/>
      <c r="HZ249" s="119"/>
      <c r="IA249" s="119"/>
      <c r="IB249" s="119"/>
      <c r="IC249" s="119"/>
      <c r="ID249" s="119"/>
      <c r="IE249" s="119"/>
      <c r="IF249" s="119"/>
      <c r="IG249" s="119"/>
      <c r="IH249" s="119"/>
      <c r="II249" s="119"/>
      <c r="IJ249" s="119"/>
      <c r="IK249" s="119"/>
      <c r="IL249" s="119"/>
      <c r="IM249" s="119"/>
      <c r="IN249" s="119"/>
      <c r="IO249" s="119"/>
      <c r="IP249" s="119"/>
      <c r="IQ249" s="119"/>
      <c r="IR249" s="119"/>
      <c r="IS249" s="119"/>
      <c r="IT249" s="119"/>
      <c r="IU249" s="119"/>
      <c r="IV249" s="119"/>
      <c r="IW249" s="119"/>
      <c r="IX249" s="119"/>
      <c r="IY249" s="119"/>
    </row>
    <row r="250" spans="20:259" x14ac:dyDescent="0.2">
      <c r="T250" s="119"/>
      <c r="W250" s="119"/>
      <c r="Z250" s="119"/>
      <c r="AC250" s="119"/>
      <c r="AF250" s="119"/>
      <c r="AI250" s="119"/>
      <c r="AL250" s="119"/>
      <c r="AO250" s="119"/>
      <c r="AR250" s="119"/>
      <c r="AU250" s="119"/>
      <c r="AX250" s="119"/>
      <c r="BA250" s="119"/>
      <c r="BD250" s="119"/>
      <c r="BG250" s="119"/>
      <c r="BJ250" s="119"/>
      <c r="BM250" s="119"/>
      <c r="BP250" s="119"/>
      <c r="BS250" s="119"/>
      <c r="BV250" s="119"/>
      <c r="BY250" s="119"/>
      <c r="EQ250" s="119"/>
      <c r="ER250" s="119"/>
      <c r="ES250" s="119"/>
      <c r="ET250" s="119"/>
      <c r="EU250" s="119"/>
      <c r="EV250" s="119"/>
      <c r="EW250" s="119"/>
      <c r="EX250" s="119"/>
      <c r="EY250" s="119"/>
      <c r="EZ250" s="119"/>
      <c r="FA250" s="119"/>
      <c r="FB250" s="119"/>
      <c r="FC250" s="119"/>
      <c r="FD250" s="119"/>
      <c r="FE250" s="119"/>
      <c r="FF250" s="119"/>
      <c r="FG250" s="119"/>
      <c r="FH250" s="119"/>
      <c r="FI250" s="119"/>
      <c r="FJ250" s="119"/>
      <c r="FK250" s="119"/>
      <c r="FL250" s="119"/>
      <c r="FM250" s="119"/>
      <c r="FN250" s="119"/>
      <c r="FO250" s="119"/>
      <c r="FP250" s="119"/>
      <c r="FQ250" s="119"/>
      <c r="FR250" s="119"/>
      <c r="FS250" s="119"/>
      <c r="FT250" s="119"/>
      <c r="FU250" s="119"/>
      <c r="FV250" s="119"/>
      <c r="FW250" s="119"/>
      <c r="FX250" s="119"/>
      <c r="FY250" s="119"/>
      <c r="FZ250" s="119"/>
      <c r="GA250" s="119"/>
      <c r="GB250" s="119"/>
      <c r="GC250" s="119"/>
      <c r="GD250" s="119"/>
      <c r="GE250" s="119"/>
      <c r="GF250" s="119"/>
      <c r="GG250" s="119"/>
      <c r="GH250" s="119"/>
      <c r="GI250" s="119"/>
      <c r="GJ250" s="119"/>
      <c r="GK250" s="119"/>
      <c r="GL250" s="119"/>
      <c r="GM250" s="119"/>
      <c r="GN250" s="119"/>
      <c r="GO250" s="119"/>
      <c r="GP250" s="119"/>
      <c r="GQ250" s="119"/>
      <c r="GR250" s="119"/>
      <c r="GS250" s="119"/>
      <c r="GT250" s="119"/>
      <c r="GU250" s="119"/>
      <c r="GV250" s="119"/>
      <c r="GW250" s="119"/>
      <c r="GX250" s="119"/>
      <c r="GY250" s="119"/>
      <c r="GZ250" s="119"/>
      <c r="HA250" s="119"/>
      <c r="HB250" s="119"/>
      <c r="HC250" s="119"/>
      <c r="HD250" s="119"/>
      <c r="HE250" s="119"/>
      <c r="HF250" s="119"/>
      <c r="HG250" s="119"/>
      <c r="HH250" s="119"/>
      <c r="HI250" s="119"/>
      <c r="HJ250" s="119"/>
      <c r="HK250" s="119"/>
      <c r="HL250" s="119"/>
      <c r="HM250" s="119"/>
      <c r="HN250" s="119"/>
      <c r="HO250" s="119"/>
      <c r="HP250" s="119"/>
      <c r="HQ250" s="119"/>
      <c r="HR250" s="119"/>
      <c r="HS250" s="119"/>
      <c r="HT250" s="119"/>
      <c r="HU250" s="119"/>
      <c r="HV250" s="119"/>
      <c r="HW250" s="119"/>
      <c r="HX250" s="119"/>
      <c r="HY250" s="119"/>
      <c r="HZ250" s="119"/>
      <c r="IA250" s="119"/>
      <c r="IB250" s="119"/>
      <c r="IC250" s="119"/>
      <c r="ID250" s="119"/>
      <c r="IE250" s="119"/>
      <c r="IF250" s="119"/>
      <c r="IG250" s="119"/>
      <c r="IH250" s="119"/>
      <c r="II250" s="119"/>
      <c r="IJ250" s="119"/>
      <c r="IK250" s="119"/>
      <c r="IL250" s="119"/>
      <c r="IM250" s="119"/>
      <c r="IN250" s="119"/>
      <c r="IO250" s="119"/>
      <c r="IP250" s="119"/>
      <c r="IQ250" s="119"/>
      <c r="IR250" s="119"/>
      <c r="IS250" s="119"/>
      <c r="IT250" s="119"/>
      <c r="IU250" s="119"/>
      <c r="IV250" s="119"/>
      <c r="IW250" s="119"/>
      <c r="IX250" s="119"/>
      <c r="IY250" s="119"/>
    </row>
    <row r="251" spans="20:259" x14ac:dyDescent="0.2">
      <c r="T251" s="119"/>
      <c r="W251" s="119"/>
      <c r="Z251" s="119"/>
      <c r="AC251" s="119"/>
      <c r="AF251" s="119"/>
      <c r="AI251" s="119"/>
      <c r="AL251" s="119"/>
      <c r="AO251" s="119"/>
      <c r="AR251" s="119"/>
      <c r="AU251" s="119"/>
      <c r="AX251" s="119"/>
      <c r="BA251" s="119"/>
      <c r="BD251" s="119"/>
      <c r="BG251" s="119"/>
      <c r="BJ251" s="119"/>
      <c r="BM251" s="119"/>
      <c r="BP251" s="119"/>
      <c r="BS251" s="119"/>
      <c r="BV251" s="119"/>
      <c r="BY251" s="119"/>
      <c r="EQ251" s="119"/>
      <c r="ER251" s="119"/>
      <c r="ES251" s="119"/>
      <c r="ET251" s="119"/>
      <c r="EU251" s="119"/>
      <c r="EV251" s="119"/>
      <c r="EW251" s="119"/>
      <c r="EX251" s="119"/>
      <c r="EY251" s="119"/>
      <c r="EZ251" s="119"/>
      <c r="FA251" s="119"/>
      <c r="FB251" s="119"/>
      <c r="FC251" s="119"/>
      <c r="FD251" s="119"/>
      <c r="FE251" s="119"/>
      <c r="FF251" s="119"/>
      <c r="FG251" s="119"/>
      <c r="FH251" s="119"/>
      <c r="FI251" s="119"/>
      <c r="FJ251" s="119"/>
      <c r="FK251" s="119"/>
      <c r="FL251" s="119"/>
      <c r="FM251" s="119"/>
      <c r="FN251" s="119"/>
      <c r="FO251" s="119"/>
      <c r="FP251" s="119"/>
      <c r="FQ251" s="119"/>
      <c r="FR251" s="119"/>
      <c r="FS251" s="119"/>
      <c r="FT251" s="119"/>
      <c r="FU251" s="119"/>
      <c r="FV251" s="119"/>
      <c r="FW251" s="119"/>
      <c r="FX251" s="119"/>
      <c r="FY251" s="119"/>
      <c r="FZ251" s="119"/>
      <c r="GA251" s="119"/>
      <c r="GB251" s="119"/>
      <c r="GC251" s="119"/>
      <c r="GD251" s="119"/>
      <c r="GE251" s="119"/>
      <c r="GF251" s="119"/>
      <c r="GG251" s="119"/>
      <c r="GH251" s="119"/>
      <c r="GI251" s="119"/>
      <c r="GJ251" s="119"/>
      <c r="GK251" s="119"/>
      <c r="GL251" s="119"/>
      <c r="GM251" s="119"/>
      <c r="GN251" s="119"/>
      <c r="GO251" s="119"/>
      <c r="GP251" s="119"/>
      <c r="GQ251" s="119"/>
      <c r="GR251" s="119"/>
      <c r="GS251" s="119"/>
      <c r="GT251" s="119"/>
      <c r="GU251" s="119"/>
      <c r="GV251" s="119"/>
      <c r="GW251" s="119"/>
      <c r="GX251" s="119"/>
      <c r="GY251" s="119"/>
      <c r="GZ251" s="119"/>
      <c r="HA251" s="119"/>
      <c r="HB251" s="119"/>
      <c r="HC251" s="119"/>
      <c r="HD251" s="119"/>
      <c r="HE251" s="119"/>
      <c r="HF251" s="119"/>
      <c r="HG251" s="119"/>
      <c r="HH251" s="119"/>
      <c r="HI251" s="119"/>
      <c r="HJ251" s="119"/>
      <c r="HK251" s="119"/>
      <c r="HL251" s="119"/>
      <c r="HM251" s="119"/>
      <c r="HN251" s="119"/>
      <c r="HO251" s="119"/>
      <c r="HP251" s="119"/>
      <c r="HQ251" s="119"/>
      <c r="HR251" s="119"/>
      <c r="HS251" s="119"/>
      <c r="HT251" s="119"/>
      <c r="HU251" s="119"/>
      <c r="HV251" s="119"/>
      <c r="HW251" s="119"/>
      <c r="HX251" s="119"/>
      <c r="HY251" s="119"/>
      <c r="HZ251" s="119"/>
      <c r="IA251" s="119"/>
      <c r="IB251" s="119"/>
      <c r="IC251" s="119"/>
      <c r="ID251" s="119"/>
      <c r="IE251" s="119"/>
      <c r="IF251" s="119"/>
      <c r="IG251" s="119"/>
      <c r="IH251" s="119"/>
      <c r="II251" s="119"/>
      <c r="IJ251" s="119"/>
      <c r="IK251" s="119"/>
      <c r="IL251" s="119"/>
      <c r="IM251" s="119"/>
      <c r="IN251" s="119"/>
      <c r="IO251" s="119"/>
      <c r="IP251" s="119"/>
      <c r="IQ251" s="119"/>
      <c r="IR251" s="119"/>
      <c r="IS251" s="119"/>
      <c r="IT251" s="119"/>
      <c r="IU251" s="119"/>
      <c r="IV251" s="119"/>
      <c r="IW251" s="119"/>
      <c r="IX251" s="119"/>
      <c r="IY251" s="119"/>
    </row>
    <row r="252" spans="20:259" x14ac:dyDescent="0.2">
      <c r="T252" s="119"/>
      <c r="W252" s="119"/>
      <c r="Z252" s="119"/>
      <c r="AC252" s="119"/>
      <c r="AF252" s="119"/>
      <c r="AI252" s="119"/>
      <c r="AL252" s="119"/>
      <c r="AO252" s="119"/>
      <c r="AR252" s="119"/>
      <c r="AU252" s="119"/>
      <c r="AX252" s="119"/>
      <c r="BA252" s="119"/>
      <c r="BD252" s="119"/>
      <c r="BG252" s="119"/>
      <c r="BJ252" s="119"/>
      <c r="BM252" s="119"/>
      <c r="BP252" s="119"/>
      <c r="BS252" s="119"/>
      <c r="BV252" s="119"/>
      <c r="BY252" s="119"/>
      <c r="EQ252" s="119"/>
      <c r="ER252" s="119"/>
      <c r="ES252" s="119"/>
      <c r="ET252" s="119"/>
      <c r="EU252" s="119"/>
      <c r="EV252" s="119"/>
      <c r="EW252" s="119"/>
      <c r="EX252" s="119"/>
      <c r="EY252" s="119"/>
      <c r="EZ252" s="119"/>
      <c r="FA252" s="119"/>
      <c r="FB252" s="119"/>
      <c r="FC252" s="119"/>
      <c r="FD252" s="119"/>
      <c r="FE252" s="119"/>
      <c r="FF252" s="119"/>
      <c r="FG252" s="119"/>
      <c r="FH252" s="119"/>
      <c r="FI252" s="119"/>
      <c r="FJ252" s="119"/>
      <c r="FK252" s="119"/>
      <c r="FL252" s="119"/>
      <c r="FM252" s="119"/>
      <c r="FN252" s="119"/>
      <c r="FO252" s="119"/>
      <c r="FP252" s="119"/>
      <c r="FQ252" s="119"/>
      <c r="FR252" s="119"/>
      <c r="FS252" s="119"/>
      <c r="FT252" s="119"/>
      <c r="FU252" s="119"/>
      <c r="FV252" s="119"/>
      <c r="FW252" s="119"/>
      <c r="FX252" s="119"/>
      <c r="FY252" s="119"/>
      <c r="FZ252" s="119"/>
      <c r="GA252" s="119"/>
      <c r="GB252" s="119"/>
      <c r="GC252" s="119"/>
      <c r="GD252" s="119"/>
      <c r="GE252" s="119"/>
      <c r="GF252" s="119"/>
      <c r="GG252" s="119"/>
      <c r="GH252" s="119"/>
      <c r="GI252" s="119"/>
      <c r="GJ252" s="119"/>
      <c r="GK252" s="119"/>
      <c r="GL252" s="119"/>
      <c r="GM252" s="119"/>
      <c r="GN252" s="119"/>
      <c r="GO252" s="119"/>
      <c r="GP252" s="119"/>
      <c r="GQ252" s="119"/>
      <c r="GR252" s="119"/>
      <c r="GS252" s="119"/>
      <c r="GT252" s="119"/>
      <c r="GU252" s="119"/>
      <c r="GV252" s="119"/>
      <c r="GW252" s="119"/>
      <c r="GX252" s="119"/>
      <c r="GY252" s="119"/>
      <c r="GZ252" s="119"/>
      <c r="HA252" s="119"/>
      <c r="HB252" s="119"/>
      <c r="HC252" s="119"/>
      <c r="HD252" s="119"/>
      <c r="HE252" s="119"/>
      <c r="HF252" s="119"/>
      <c r="HG252" s="119"/>
      <c r="HH252" s="119"/>
      <c r="HI252" s="119"/>
      <c r="HJ252" s="119"/>
      <c r="HK252" s="119"/>
      <c r="HL252" s="119"/>
      <c r="HM252" s="119"/>
      <c r="HN252" s="119"/>
      <c r="HO252" s="119"/>
      <c r="HP252" s="119"/>
      <c r="HQ252" s="119"/>
      <c r="HR252" s="119"/>
      <c r="HS252" s="119"/>
      <c r="HT252" s="119"/>
      <c r="HU252" s="119"/>
      <c r="HV252" s="119"/>
      <c r="HW252" s="119"/>
      <c r="HX252" s="119"/>
      <c r="HY252" s="119"/>
      <c r="HZ252" s="119"/>
      <c r="IA252" s="119"/>
      <c r="IB252" s="119"/>
      <c r="IC252" s="119"/>
      <c r="ID252" s="119"/>
      <c r="IE252" s="119"/>
      <c r="IF252" s="119"/>
      <c r="IG252" s="119"/>
      <c r="IH252" s="119"/>
      <c r="II252" s="119"/>
      <c r="IJ252" s="119"/>
      <c r="IK252" s="119"/>
      <c r="IL252" s="119"/>
      <c r="IM252" s="119"/>
      <c r="IN252" s="119"/>
      <c r="IO252" s="119"/>
      <c r="IP252" s="119"/>
      <c r="IQ252" s="119"/>
      <c r="IR252" s="119"/>
      <c r="IS252" s="119"/>
      <c r="IT252" s="119"/>
      <c r="IU252" s="119"/>
      <c r="IV252" s="119"/>
      <c r="IW252" s="119"/>
      <c r="IX252" s="119"/>
      <c r="IY252" s="119"/>
    </row>
    <row r="253" spans="20:259" x14ac:dyDescent="0.2">
      <c r="T253" s="119"/>
      <c r="W253" s="119"/>
      <c r="Z253" s="119"/>
      <c r="AC253" s="119"/>
      <c r="AF253" s="119"/>
      <c r="AI253" s="119"/>
      <c r="AL253" s="119"/>
      <c r="AO253" s="119"/>
      <c r="AR253" s="119"/>
      <c r="AU253" s="119"/>
      <c r="AX253" s="119"/>
      <c r="BA253" s="119"/>
      <c r="BD253" s="119"/>
      <c r="BG253" s="119"/>
      <c r="BJ253" s="119"/>
      <c r="BM253" s="119"/>
      <c r="BP253" s="119"/>
      <c r="BS253" s="119"/>
      <c r="BV253" s="119"/>
      <c r="BY253" s="119"/>
      <c r="EQ253" s="119"/>
      <c r="ER253" s="119"/>
      <c r="ES253" s="119"/>
      <c r="ET253" s="119"/>
      <c r="EU253" s="119"/>
      <c r="EV253" s="119"/>
      <c r="EW253" s="119"/>
      <c r="EX253" s="119"/>
      <c r="EY253" s="119"/>
      <c r="EZ253" s="119"/>
      <c r="FA253" s="119"/>
      <c r="FB253" s="119"/>
      <c r="FC253" s="119"/>
      <c r="FD253" s="119"/>
      <c r="FE253" s="119"/>
      <c r="FF253" s="119"/>
      <c r="FG253" s="119"/>
      <c r="FH253" s="119"/>
      <c r="FI253" s="119"/>
      <c r="FJ253" s="119"/>
      <c r="FK253" s="119"/>
      <c r="FL253" s="119"/>
      <c r="FM253" s="119"/>
      <c r="FN253" s="119"/>
      <c r="FO253" s="119"/>
      <c r="FP253" s="119"/>
      <c r="FQ253" s="119"/>
      <c r="FR253" s="119"/>
      <c r="FS253" s="119"/>
      <c r="FT253" s="119"/>
      <c r="FU253" s="119"/>
      <c r="FV253" s="119"/>
      <c r="FW253" s="119"/>
      <c r="FX253" s="119"/>
      <c r="FY253" s="119"/>
      <c r="FZ253" s="119"/>
      <c r="GA253" s="119"/>
      <c r="GB253" s="119"/>
      <c r="GC253" s="119"/>
      <c r="GD253" s="119"/>
      <c r="GE253" s="119"/>
      <c r="GF253" s="119"/>
      <c r="GG253" s="119"/>
      <c r="GH253" s="119"/>
      <c r="GI253" s="119"/>
      <c r="GJ253" s="119"/>
      <c r="GK253" s="119"/>
      <c r="GL253" s="119"/>
      <c r="GM253" s="119"/>
      <c r="GN253" s="119"/>
      <c r="GO253" s="119"/>
      <c r="GP253" s="119"/>
      <c r="GQ253" s="119"/>
      <c r="GR253" s="119"/>
      <c r="GS253" s="119"/>
      <c r="GT253" s="119"/>
      <c r="GU253" s="119"/>
      <c r="GV253" s="119"/>
      <c r="GW253" s="119"/>
      <c r="GX253" s="119"/>
      <c r="GY253" s="119"/>
      <c r="GZ253" s="119"/>
      <c r="HA253" s="119"/>
      <c r="HB253" s="119"/>
      <c r="HC253" s="119"/>
      <c r="HD253" s="119"/>
      <c r="HE253" s="119"/>
      <c r="HF253" s="119"/>
      <c r="HG253" s="119"/>
      <c r="HH253" s="119"/>
      <c r="HI253" s="119"/>
      <c r="HJ253" s="119"/>
      <c r="HK253" s="119"/>
      <c r="HL253" s="119"/>
      <c r="HM253" s="119"/>
      <c r="HN253" s="119"/>
      <c r="HO253" s="119"/>
      <c r="HP253" s="119"/>
      <c r="HQ253" s="119"/>
      <c r="HR253" s="119"/>
      <c r="HS253" s="119"/>
      <c r="HT253" s="119"/>
      <c r="HU253" s="119"/>
      <c r="HV253" s="119"/>
      <c r="HW253" s="119"/>
      <c r="HX253" s="119"/>
      <c r="HY253" s="119"/>
      <c r="HZ253" s="119"/>
      <c r="IA253" s="119"/>
      <c r="IB253" s="119"/>
      <c r="IC253" s="119"/>
      <c r="ID253" s="119"/>
      <c r="IE253" s="119"/>
      <c r="IF253" s="119"/>
      <c r="IG253" s="119"/>
      <c r="IH253" s="119"/>
      <c r="II253" s="119"/>
      <c r="IJ253" s="119"/>
      <c r="IK253" s="119"/>
      <c r="IL253" s="119"/>
      <c r="IM253" s="119"/>
      <c r="IN253" s="119"/>
      <c r="IO253" s="119"/>
      <c r="IP253" s="119"/>
      <c r="IQ253" s="119"/>
      <c r="IR253" s="119"/>
      <c r="IS253" s="119"/>
      <c r="IT253" s="119"/>
      <c r="IU253" s="119"/>
      <c r="IV253" s="119"/>
      <c r="IW253" s="119"/>
      <c r="IX253" s="119"/>
      <c r="IY253" s="119"/>
    </row>
    <row r="254" spans="20:259" x14ac:dyDescent="0.2">
      <c r="T254" s="119"/>
      <c r="W254" s="119"/>
      <c r="Z254" s="119"/>
      <c r="AC254" s="119"/>
      <c r="AF254" s="119"/>
      <c r="AI254" s="119"/>
      <c r="AL254" s="119"/>
      <c r="AO254" s="119"/>
      <c r="AR254" s="119"/>
      <c r="AU254" s="119"/>
      <c r="AX254" s="119"/>
      <c r="BA254" s="119"/>
      <c r="BD254" s="119"/>
      <c r="BG254" s="119"/>
      <c r="BJ254" s="119"/>
      <c r="BM254" s="119"/>
      <c r="BP254" s="119"/>
      <c r="BS254" s="119"/>
      <c r="BV254" s="119"/>
      <c r="BY254" s="119"/>
      <c r="EQ254" s="119"/>
      <c r="ER254" s="119"/>
      <c r="ES254" s="119"/>
      <c r="ET254" s="119"/>
      <c r="EU254" s="119"/>
      <c r="EV254" s="119"/>
      <c r="EW254" s="119"/>
      <c r="EX254" s="119"/>
      <c r="EY254" s="119"/>
      <c r="EZ254" s="119"/>
      <c r="FA254" s="119"/>
      <c r="FB254" s="119"/>
      <c r="FC254" s="119"/>
      <c r="FD254" s="119"/>
      <c r="FE254" s="119"/>
      <c r="FF254" s="119"/>
      <c r="FG254" s="119"/>
      <c r="FH254" s="119"/>
      <c r="FI254" s="119"/>
      <c r="FJ254" s="119"/>
      <c r="FK254" s="119"/>
      <c r="FL254" s="119"/>
      <c r="FM254" s="119"/>
      <c r="FN254" s="119"/>
      <c r="FO254" s="119"/>
      <c r="FP254" s="119"/>
      <c r="FQ254" s="119"/>
      <c r="FR254" s="119"/>
      <c r="FS254" s="119"/>
      <c r="FT254" s="119"/>
      <c r="FU254" s="119"/>
      <c r="FV254" s="119"/>
      <c r="FW254" s="119"/>
      <c r="FX254" s="119"/>
      <c r="FY254" s="119"/>
      <c r="FZ254" s="119"/>
      <c r="GA254" s="119"/>
      <c r="GB254" s="119"/>
      <c r="GC254" s="119"/>
      <c r="GD254" s="119"/>
      <c r="GE254" s="119"/>
      <c r="GF254" s="119"/>
      <c r="GG254" s="119"/>
      <c r="GH254" s="119"/>
      <c r="GI254" s="119"/>
      <c r="GJ254" s="119"/>
      <c r="GK254" s="119"/>
      <c r="GL254" s="119"/>
      <c r="GM254" s="119"/>
      <c r="GN254" s="119"/>
      <c r="GO254" s="119"/>
      <c r="GP254" s="119"/>
      <c r="GQ254" s="119"/>
      <c r="GR254" s="119"/>
      <c r="GS254" s="119"/>
      <c r="GT254" s="119"/>
      <c r="GU254" s="119"/>
      <c r="GV254" s="119"/>
      <c r="GW254" s="119"/>
      <c r="GX254" s="119"/>
      <c r="GY254" s="119"/>
      <c r="GZ254" s="119"/>
      <c r="HA254" s="119"/>
      <c r="HB254" s="119"/>
      <c r="HC254" s="119"/>
      <c r="HD254" s="119"/>
      <c r="HE254" s="119"/>
      <c r="HF254" s="119"/>
      <c r="HG254" s="119"/>
      <c r="HH254" s="119"/>
      <c r="HI254" s="119"/>
      <c r="HJ254" s="119"/>
      <c r="HK254" s="119"/>
      <c r="HL254" s="119"/>
      <c r="HM254" s="119"/>
      <c r="HN254" s="119"/>
      <c r="HO254" s="119"/>
      <c r="HP254" s="119"/>
      <c r="HQ254" s="119"/>
      <c r="HR254" s="119"/>
      <c r="HS254" s="119"/>
      <c r="HT254" s="119"/>
      <c r="HU254" s="119"/>
      <c r="HV254" s="119"/>
      <c r="HW254" s="119"/>
      <c r="HX254" s="119"/>
      <c r="HY254" s="119"/>
      <c r="HZ254" s="119"/>
      <c r="IA254" s="119"/>
      <c r="IB254" s="119"/>
      <c r="IC254" s="119"/>
      <c r="ID254" s="119"/>
      <c r="IE254" s="119"/>
      <c r="IF254" s="119"/>
      <c r="IG254" s="119"/>
      <c r="IH254" s="119"/>
      <c r="II254" s="119"/>
      <c r="IJ254" s="119"/>
      <c r="IK254" s="119"/>
      <c r="IL254" s="119"/>
      <c r="IM254" s="119"/>
      <c r="IN254" s="119"/>
      <c r="IO254" s="119"/>
      <c r="IP254" s="119"/>
      <c r="IQ254" s="119"/>
      <c r="IR254" s="119"/>
      <c r="IS254" s="119"/>
      <c r="IT254" s="119"/>
      <c r="IU254" s="119"/>
      <c r="IV254" s="119"/>
      <c r="IW254" s="119"/>
      <c r="IX254" s="119"/>
      <c r="IY254" s="119"/>
    </row>
    <row r="255" spans="20:259" x14ac:dyDescent="0.2">
      <c r="T255" s="119"/>
      <c r="W255" s="119"/>
      <c r="Z255" s="119"/>
      <c r="AC255" s="119"/>
      <c r="AF255" s="119"/>
      <c r="AI255" s="119"/>
      <c r="AL255" s="119"/>
      <c r="AO255" s="119"/>
      <c r="AR255" s="119"/>
      <c r="AU255" s="119"/>
      <c r="AX255" s="119"/>
      <c r="BA255" s="119"/>
      <c r="BD255" s="119"/>
      <c r="BG255" s="119"/>
      <c r="BJ255" s="119"/>
      <c r="BM255" s="119"/>
      <c r="BP255" s="119"/>
      <c r="BS255" s="119"/>
      <c r="BV255" s="119"/>
      <c r="BY255" s="119"/>
      <c r="EQ255" s="119"/>
      <c r="ER255" s="119"/>
      <c r="ES255" s="119"/>
      <c r="ET255" s="119"/>
      <c r="EU255" s="119"/>
      <c r="EV255" s="119"/>
      <c r="EW255" s="119"/>
      <c r="EX255" s="119"/>
      <c r="EY255" s="119"/>
      <c r="EZ255" s="119"/>
      <c r="FA255" s="119"/>
      <c r="FB255" s="119"/>
      <c r="FC255" s="119"/>
      <c r="FD255" s="119"/>
      <c r="FE255" s="119"/>
      <c r="FF255" s="119"/>
      <c r="FG255" s="119"/>
      <c r="FH255" s="119"/>
      <c r="FI255" s="119"/>
      <c r="FJ255" s="119"/>
      <c r="FK255" s="119"/>
      <c r="FL255" s="119"/>
      <c r="FM255" s="119"/>
      <c r="FN255" s="119"/>
      <c r="FO255" s="119"/>
      <c r="FP255" s="119"/>
      <c r="FQ255" s="119"/>
      <c r="FR255" s="119"/>
      <c r="FS255" s="119"/>
      <c r="FT255" s="119"/>
      <c r="FU255" s="119"/>
      <c r="FV255" s="119"/>
      <c r="FW255" s="119"/>
      <c r="FX255" s="119"/>
      <c r="FY255" s="119"/>
      <c r="FZ255" s="119"/>
      <c r="GA255" s="119"/>
      <c r="GB255" s="119"/>
      <c r="GC255" s="119"/>
      <c r="GD255" s="119"/>
      <c r="GE255" s="119"/>
      <c r="GF255" s="119"/>
      <c r="GG255" s="119"/>
      <c r="GH255" s="119"/>
      <c r="GI255" s="119"/>
      <c r="GJ255" s="119"/>
      <c r="GK255" s="119"/>
      <c r="GL255" s="119"/>
      <c r="GM255" s="119"/>
      <c r="GN255" s="119"/>
      <c r="GO255" s="119"/>
      <c r="GP255" s="119"/>
      <c r="GQ255" s="119"/>
      <c r="GR255" s="119"/>
      <c r="GS255" s="119"/>
      <c r="GT255" s="119"/>
      <c r="GU255" s="119"/>
      <c r="GV255" s="119"/>
      <c r="GW255" s="119"/>
      <c r="GX255" s="119"/>
      <c r="GY255" s="119"/>
      <c r="GZ255" s="119"/>
      <c r="HA255" s="119"/>
      <c r="HB255" s="119"/>
      <c r="HC255" s="119"/>
      <c r="HD255" s="119"/>
      <c r="HE255" s="119"/>
      <c r="HF255" s="119"/>
      <c r="HG255" s="119"/>
      <c r="HH255" s="119"/>
      <c r="HI255" s="119"/>
      <c r="HJ255" s="119"/>
      <c r="HK255" s="119"/>
      <c r="HL255" s="119"/>
      <c r="HM255" s="119"/>
      <c r="HN255" s="119"/>
      <c r="HO255" s="119"/>
      <c r="HP255" s="119"/>
      <c r="HQ255" s="119"/>
      <c r="HR255" s="119"/>
      <c r="HS255" s="119"/>
      <c r="HT255" s="119"/>
      <c r="HU255" s="119"/>
      <c r="HV255" s="119"/>
      <c r="HW255" s="119"/>
      <c r="HX255" s="119"/>
      <c r="HY255" s="119"/>
      <c r="HZ255" s="119"/>
      <c r="IA255" s="119"/>
      <c r="IB255" s="119"/>
      <c r="IC255" s="119"/>
      <c r="ID255" s="119"/>
      <c r="IE255" s="119"/>
      <c r="IF255" s="119"/>
      <c r="IG255" s="119"/>
      <c r="IH255" s="119"/>
      <c r="II255" s="119"/>
      <c r="IJ255" s="119"/>
      <c r="IK255" s="119"/>
      <c r="IL255" s="119"/>
      <c r="IM255" s="119"/>
      <c r="IN255" s="119"/>
      <c r="IO255" s="119"/>
      <c r="IP255" s="119"/>
      <c r="IQ255" s="119"/>
      <c r="IR255" s="119"/>
      <c r="IS255" s="119"/>
      <c r="IT255" s="119"/>
      <c r="IU255" s="119"/>
      <c r="IV255" s="119"/>
      <c r="IW255" s="119"/>
      <c r="IX255" s="119"/>
      <c r="IY255" s="119"/>
    </row>
    <row r="256" spans="20:259" x14ac:dyDescent="0.2">
      <c r="T256" s="119"/>
      <c r="W256" s="119"/>
      <c r="Z256" s="119"/>
      <c r="AC256" s="119"/>
      <c r="AF256" s="119"/>
      <c r="AI256" s="119"/>
      <c r="AL256" s="119"/>
      <c r="AO256" s="119"/>
      <c r="AR256" s="119"/>
      <c r="AU256" s="119"/>
      <c r="AX256" s="119"/>
      <c r="BA256" s="119"/>
      <c r="BD256" s="119"/>
      <c r="BG256" s="119"/>
      <c r="BJ256" s="119"/>
      <c r="BM256" s="119"/>
      <c r="BP256" s="119"/>
      <c r="BS256" s="119"/>
      <c r="BV256" s="119"/>
      <c r="BY256" s="119"/>
      <c r="EQ256" s="119"/>
      <c r="ER256" s="119"/>
      <c r="ES256" s="119"/>
      <c r="ET256" s="119"/>
      <c r="EU256" s="119"/>
      <c r="EV256" s="119"/>
      <c r="EW256" s="119"/>
      <c r="EX256" s="119"/>
      <c r="EY256" s="119"/>
      <c r="EZ256" s="119"/>
      <c r="FA256" s="119"/>
      <c r="FB256" s="119"/>
      <c r="FC256" s="119"/>
      <c r="FD256" s="119"/>
      <c r="FE256" s="119"/>
      <c r="FF256" s="119"/>
      <c r="FG256" s="119"/>
      <c r="FH256" s="119"/>
      <c r="FI256" s="119"/>
      <c r="FJ256" s="119"/>
      <c r="FK256" s="119"/>
      <c r="FL256" s="119"/>
      <c r="FM256" s="119"/>
      <c r="FN256" s="119"/>
      <c r="FO256" s="119"/>
      <c r="FP256" s="119"/>
      <c r="FQ256" s="119"/>
      <c r="FR256" s="119"/>
      <c r="FS256" s="119"/>
      <c r="FT256" s="119"/>
      <c r="FU256" s="119"/>
      <c r="FV256" s="119"/>
      <c r="FW256" s="119"/>
      <c r="FX256" s="119"/>
      <c r="FY256" s="119"/>
      <c r="FZ256" s="119"/>
      <c r="GA256" s="119"/>
      <c r="GB256" s="119"/>
      <c r="GC256" s="119"/>
      <c r="GD256" s="119"/>
      <c r="GE256" s="119"/>
      <c r="GF256" s="119"/>
      <c r="GG256" s="119"/>
      <c r="GH256" s="119"/>
      <c r="GI256" s="119"/>
      <c r="GJ256" s="119"/>
      <c r="GK256" s="119"/>
      <c r="GL256" s="119"/>
      <c r="GM256" s="119"/>
      <c r="GN256" s="119"/>
      <c r="GO256" s="119"/>
      <c r="GP256" s="119"/>
      <c r="GQ256" s="119"/>
      <c r="GR256" s="119"/>
      <c r="GS256" s="119"/>
      <c r="GT256" s="119"/>
      <c r="GU256" s="119"/>
      <c r="GV256" s="119"/>
      <c r="GW256" s="119"/>
      <c r="GX256" s="119"/>
      <c r="GY256" s="119"/>
      <c r="GZ256" s="119"/>
      <c r="HA256" s="119"/>
      <c r="HB256" s="119"/>
      <c r="HC256" s="119"/>
      <c r="HD256" s="119"/>
      <c r="HE256" s="119"/>
      <c r="HF256" s="119"/>
      <c r="HG256" s="119"/>
      <c r="HH256" s="119"/>
      <c r="HI256" s="119"/>
      <c r="HJ256" s="119"/>
      <c r="HK256" s="119"/>
      <c r="HL256" s="119"/>
      <c r="HM256" s="119"/>
      <c r="HN256" s="119"/>
      <c r="HO256" s="119"/>
      <c r="HP256" s="119"/>
      <c r="HQ256" s="119"/>
      <c r="HR256" s="119"/>
      <c r="HS256" s="119"/>
      <c r="HT256" s="119"/>
      <c r="HU256" s="119"/>
      <c r="HV256" s="119"/>
      <c r="HW256" s="119"/>
      <c r="HX256" s="119"/>
      <c r="HY256" s="119"/>
      <c r="HZ256" s="119"/>
      <c r="IA256" s="119"/>
      <c r="IB256" s="119"/>
      <c r="IC256" s="119"/>
      <c r="ID256" s="119"/>
      <c r="IE256" s="119"/>
      <c r="IF256" s="119"/>
      <c r="IG256" s="119"/>
      <c r="IH256" s="119"/>
      <c r="II256" s="119"/>
      <c r="IJ256" s="119"/>
      <c r="IK256" s="119"/>
      <c r="IL256" s="119"/>
      <c r="IM256" s="119"/>
      <c r="IN256" s="119"/>
      <c r="IO256" s="119"/>
      <c r="IP256" s="119"/>
      <c r="IQ256" s="119"/>
      <c r="IR256" s="119"/>
      <c r="IS256" s="119"/>
      <c r="IT256" s="119"/>
      <c r="IU256" s="119"/>
      <c r="IV256" s="119"/>
      <c r="IW256" s="119"/>
      <c r="IX256" s="119"/>
      <c r="IY256" s="119"/>
    </row>
    <row r="257" spans="2:259" x14ac:dyDescent="0.2">
      <c r="T257" s="119"/>
      <c r="W257" s="119"/>
      <c r="Z257" s="119"/>
      <c r="AC257" s="119"/>
      <c r="AF257" s="119"/>
      <c r="AI257" s="119"/>
      <c r="AL257" s="119"/>
      <c r="AO257" s="119"/>
      <c r="AR257" s="119"/>
      <c r="AU257" s="119"/>
      <c r="AX257" s="119"/>
      <c r="BA257" s="119"/>
      <c r="BD257" s="119"/>
      <c r="BG257" s="119"/>
      <c r="BJ257" s="119"/>
      <c r="BM257" s="119"/>
      <c r="BP257" s="119"/>
      <c r="BS257" s="119"/>
      <c r="BV257" s="119"/>
      <c r="BY257" s="119"/>
      <c r="EQ257" s="119"/>
      <c r="ER257" s="119"/>
      <c r="ES257" s="119"/>
      <c r="ET257" s="119"/>
      <c r="EU257" s="119"/>
      <c r="EV257" s="119"/>
      <c r="EW257" s="119"/>
      <c r="EX257" s="119"/>
      <c r="EY257" s="119"/>
      <c r="EZ257" s="119"/>
      <c r="FA257" s="119"/>
      <c r="FB257" s="119"/>
      <c r="FC257" s="119"/>
      <c r="FD257" s="119"/>
      <c r="FE257" s="119"/>
      <c r="FF257" s="119"/>
      <c r="FG257" s="119"/>
      <c r="FH257" s="119"/>
      <c r="FI257" s="119"/>
      <c r="FJ257" s="119"/>
      <c r="FK257" s="119"/>
      <c r="FL257" s="119"/>
      <c r="FM257" s="119"/>
      <c r="FN257" s="119"/>
      <c r="FO257" s="119"/>
      <c r="FP257" s="119"/>
      <c r="FQ257" s="119"/>
      <c r="FR257" s="119"/>
      <c r="FS257" s="119"/>
      <c r="FT257" s="119"/>
      <c r="FU257" s="119"/>
      <c r="FV257" s="119"/>
      <c r="FW257" s="119"/>
      <c r="FX257" s="119"/>
      <c r="FY257" s="119"/>
      <c r="FZ257" s="119"/>
      <c r="GA257" s="119"/>
      <c r="GB257" s="119"/>
      <c r="GC257" s="119"/>
      <c r="GD257" s="119"/>
      <c r="GE257" s="119"/>
      <c r="GF257" s="119"/>
      <c r="GG257" s="119"/>
      <c r="GH257" s="119"/>
      <c r="GI257" s="119"/>
      <c r="GJ257" s="119"/>
      <c r="GK257" s="119"/>
      <c r="GL257" s="119"/>
      <c r="GM257" s="119"/>
      <c r="GN257" s="119"/>
      <c r="GO257" s="119"/>
      <c r="GP257" s="119"/>
      <c r="GQ257" s="119"/>
      <c r="GR257" s="119"/>
      <c r="GS257" s="119"/>
      <c r="GT257" s="119"/>
      <c r="GU257" s="119"/>
      <c r="GV257" s="119"/>
      <c r="GW257" s="119"/>
      <c r="GX257" s="119"/>
      <c r="GY257" s="119"/>
      <c r="GZ257" s="119"/>
      <c r="HA257" s="119"/>
      <c r="HB257" s="119"/>
      <c r="HC257" s="119"/>
      <c r="HD257" s="119"/>
      <c r="HE257" s="119"/>
      <c r="HF257" s="119"/>
      <c r="HG257" s="119"/>
      <c r="HH257" s="119"/>
      <c r="HI257" s="119"/>
      <c r="HJ257" s="119"/>
      <c r="HK257" s="119"/>
      <c r="HL257" s="119"/>
      <c r="HM257" s="119"/>
      <c r="HN257" s="119"/>
      <c r="HO257" s="119"/>
      <c r="HP257" s="119"/>
      <c r="HQ257" s="119"/>
      <c r="HR257" s="119"/>
      <c r="HS257" s="119"/>
      <c r="HT257" s="119"/>
      <c r="HU257" s="119"/>
      <c r="HV257" s="119"/>
      <c r="HW257" s="119"/>
      <c r="HX257" s="119"/>
      <c r="HY257" s="119"/>
      <c r="HZ257" s="119"/>
      <c r="IA257" s="119"/>
      <c r="IB257" s="119"/>
      <c r="IC257" s="119"/>
      <c r="ID257" s="119"/>
      <c r="IE257" s="119"/>
      <c r="IF257" s="119"/>
      <c r="IG257" s="119"/>
      <c r="IH257" s="119"/>
      <c r="II257" s="119"/>
      <c r="IJ257" s="119"/>
      <c r="IK257" s="119"/>
      <c r="IL257" s="119"/>
      <c r="IM257" s="119"/>
      <c r="IN257" s="119"/>
      <c r="IO257" s="119"/>
      <c r="IP257" s="119"/>
      <c r="IQ257" s="119"/>
      <c r="IR257" s="119"/>
      <c r="IS257" s="119"/>
      <c r="IT257" s="119"/>
      <c r="IU257" s="119"/>
      <c r="IV257" s="119"/>
      <c r="IW257" s="119"/>
      <c r="IX257" s="119"/>
      <c r="IY257" s="119"/>
    </row>
    <row r="258" spans="2:259" x14ac:dyDescent="0.2">
      <c r="T258" s="119"/>
      <c r="W258" s="119"/>
      <c r="Z258" s="119"/>
      <c r="AC258" s="119"/>
      <c r="AF258" s="119"/>
      <c r="AI258" s="119"/>
      <c r="AL258" s="119"/>
      <c r="AO258" s="119"/>
      <c r="AR258" s="119"/>
      <c r="AU258" s="119"/>
      <c r="AX258" s="119"/>
      <c r="BA258" s="119"/>
      <c r="BD258" s="119"/>
      <c r="BG258" s="119"/>
      <c r="BJ258" s="119"/>
      <c r="BM258" s="119"/>
      <c r="BP258" s="119"/>
      <c r="BS258" s="119"/>
      <c r="BV258" s="119"/>
      <c r="BY258" s="119"/>
      <c r="EQ258" s="119"/>
      <c r="ER258" s="119"/>
      <c r="ES258" s="119"/>
      <c r="ET258" s="119"/>
      <c r="EU258" s="119"/>
      <c r="EV258" s="119"/>
      <c r="EW258" s="119"/>
      <c r="EX258" s="119"/>
      <c r="EY258" s="119"/>
      <c r="EZ258" s="119"/>
      <c r="FA258" s="119"/>
      <c r="FB258" s="119"/>
      <c r="FC258" s="119"/>
      <c r="FD258" s="119"/>
      <c r="FE258" s="119"/>
      <c r="FF258" s="119"/>
      <c r="FG258" s="119"/>
      <c r="FH258" s="119"/>
      <c r="FI258" s="119"/>
      <c r="FJ258" s="119"/>
      <c r="FK258" s="119"/>
      <c r="FL258" s="119"/>
      <c r="FM258" s="119"/>
      <c r="FN258" s="119"/>
      <c r="FO258" s="119"/>
      <c r="FP258" s="119"/>
      <c r="FQ258" s="119"/>
      <c r="FR258" s="119"/>
      <c r="FS258" s="119"/>
      <c r="FT258" s="119"/>
      <c r="FU258" s="119"/>
      <c r="FV258" s="119"/>
      <c r="FW258" s="119"/>
      <c r="FX258" s="119"/>
      <c r="FY258" s="119"/>
      <c r="FZ258" s="119"/>
      <c r="GA258" s="119"/>
      <c r="GB258" s="119"/>
      <c r="GC258" s="119"/>
      <c r="GD258" s="119"/>
      <c r="GE258" s="119"/>
      <c r="GF258" s="119"/>
      <c r="GG258" s="119"/>
      <c r="GH258" s="119"/>
      <c r="GI258" s="119"/>
      <c r="GJ258" s="119"/>
      <c r="GK258" s="119"/>
      <c r="GL258" s="119"/>
      <c r="GM258" s="119"/>
      <c r="GN258" s="119"/>
      <c r="GO258" s="119"/>
      <c r="GP258" s="119"/>
      <c r="GQ258" s="119"/>
      <c r="GR258" s="119"/>
      <c r="GS258" s="119"/>
      <c r="GT258" s="119"/>
      <c r="GU258" s="119"/>
      <c r="GV258" s="119"/>
      <c r="GW258" s="119"/>
      <c r="GX258" s="119"/>
      <c r="GY258" s="119"/>
      <c r="GZ258" s="119"/>
      <c r="HA258" s="119"/>
      <c r="HB258" s="119"/>
      <c r="HC258" s="119"/>
      <c r="HD258" s="119"/>
      <c r="HE258" s="119"/>
      <c r="HF258" s="119"/>
      <c r="HG258" s="119"/>
      <c r="HH258" s="119"/>
      <c r="HI258" s="119"/>
      <c r="HJ258" s="119"/>
      <c r="HK258" s="119"/>
      <c r="HL258" s="119"/>
      <c r="HM258" s="119"/>
      <c r="HN258" s="119"/>
      <c r="HO258" s="119"/>
      <c r="HP258" s="119"/>
      <c r="HQ258" s="119"/>
      <c r="HR258" s="119"/>
      <c r="HS258" s="119"/>
      <c r="HT258" s="119"/>
      <c r="HU258" s="119"/>
      <c r="HV258" s="119"/>
      <c r="HW258" s="119"/>
      <c r="HX258" s="119"/>
      <c r="HY258" s="119"/>
      <c r="HZ258" s="119"/>
      <c r="IA258" s="119"/>
      <c r="IB258" s="119"/>
      <c r="IC258" s="119"/>
      <c r="ID258" s="119"/>
      <c r="IE258" s="119"/>
      <c r="IF258" s="119"/>
      <c r="IG258" s="119"/>
      <c r="IH258" s="119"/>
      <c r="II258" s="119"/>
      <c r="IJ258" s="119"/>
      <c r="IK258" s="119"/>
      <c r="IL258" s="119"/>
      <c r="IM258" s="119"/>
      <c r="IN258" s="119"/>
      <c r="IO258" s="119"/>
      <c r="IP258" s="119"/>
      <c r="IQ258" s="119"/>
      <c r="IR258" s="119"/>
      <c r="IS258" s="119"/>
      <c r="IT258" s="119"/>
      <c r="IU258" s="119"/>
      <c r="IV258" s="119"/>
      <c r="IW258" s="119"/>
      <c r="IX258" s="119"/>
      <c r="IY258" s="119"/>
    </row>
    <row r="259" spans="2:259" x14ac:dyDescent="0.2">
      <c r="T259" s="119"/>
      <c r="W259" s="119"/>
      <c r="Z259" s="119"/>
      <c r="AC259" s="119"/>
      <c r="AF259" s="119"/>
      <c r="AI259" s="119"/>
      <c r="AL259" s="119"/>
      <c r="AO259" s="119"/>
      <c r="AR259" s="119"/>
      <c r="AU259" s="119"/>
      <c r="AX259" s="119"/>
      <c r="BA259" s="119"/>
      <c r="BD259" s="119"/>
      <c r="BG259" s="119"/>
      <c r="BJ259" s="119"/>
      <c r="BM259" s="119"/>
      <c r="BP259" s="119"/>
      <c r="BS259" s="119"/>
      <c r="BV259" s="119"/>
      <c r="BY259" s="119"/>
      <c r="EQ259" s="119"/>
      <c r="ER259" s="119"/>
      <c r="ES259" s="119"/>
      <c r="ET259" s="119"/>
      <c r="EU259" s="119"/>
      <c r="EV259" s="119"/>
      <c r="EW259" s="119"/>
      <c r="EX259" s="119"/>
      <c r="EY259" s="119"/>
      <c r="EZ259" s="119"/>
      <c r="FA259" s="119"/>
      <c r="FB259" s="119"/>
      <c r="FC259" s="119"/>
      <c r="FD259" s="119"/>
      <c r="FE259" s="119"/>
      <c r="FF259" s="119"/>
      <c r="FG259" s="119"/>
      <c r="FH259" s="119"/>
      <c r="FI259" s="119"/>
      <c r="FJ259" s="119"/>
      <c r="FK259" s="119"/>
      <c r="FL259" s="119"/>
      <c r="FM259" s="119"/>
      <c r="FN259" s="119"/>
      <c r="FO259" s="119"/>
      <c r="FP259" s="119"/>
      <c r="FQ259" s="119"/>
      <c r="FR259" s="119"/>
      <c r="FS259" s="119"/>
      <c r="FT259" s="119"/>
      <c r="FU259" s="119"/>
      <c r="FV259" s="119"/>
      <c r="FW259" s="119"/>
      <c r="FX259" s="119"/>
      <c r="FY259" s="119"/>
      <c r="FZ259" s="119"/>
      <c r="GA259" s="119"/>
      <c r="GB259" s="119"/>
      <c r="GC259" s="119"/>
      <c r="GD259" s="119"/>
      <c r="GE259" s="119"/>
      <c r="GF259" s="119"/>
      <c r="GG259" s="119"/>
      <c r="GH259" s="119"/>
      <c r="GI259" s="119"/>
      <c r="GJ259" s="119"/>
      <c r="GK259" s="119"/>
      <c r="GL259" s="119"/>
      <c r="GM259" s="119"/>
      <c r="GN259" s="119"/>
      <c r="GO259" s="119"/>
      <c r="GP259" s="119"/>
      <c r="GQ259" s="119"/>
      <c r="GR259" s="119"/>
      <c r="GS259" s="119"/>
      <c r="GT259" s="119"/>
      <c r="GU259" s="119"/>
      <c r="GV259" s="119"/>
      <c r="GW259" s="119"/>
      <c r="GX259" s="119"/>
      <c r="GY259" s="119"/>
      <c r="GZ259" s="119"/>
      <c r="HA259" s="119"/>
      <c r="HB259" s="119"/>
      <c r="HC259" s="119"/>
      <c r="HD259" s="119"/>
      <c r="HE259" s="119"/>
      <c r="HF259" s="119"/>
      <c r="HG259" s="119"/>
      <c r="HH259" s="119"/>
      <c r="HI259" s="119"/>
      <c r="HJ259" s="119"/>
      <c r="HK259" s="119"/>
      <c r="HL259" s="119"/>
      <c r="HM259" s="119"/>
      <c r="HN259" s="119"/>
      <c r="HO259" s="119"/>
      <c r="HP259" s="119"/>
      <c r="HQ259" s="119"/>
      <c r="HR259" s="119"/>
      <c r="HS259" s="119"/>
      <c r="HT259" s="119"/>
      <c r="HU259" s="119"/>
      <c r="HV259" s="119"/>
      <c r="HW259" s="119"/>
      <c r="HX259" s="119"/>
      <c r="HY259" s="119"/>
      <c r="HZ259" s="119"/>
      <c r="IA259" s="119"/>
      <c r="IB259" s="119"/>
      <c r="IC259" s="119"/>
      <c r="ID259" s="119"/>
      <c r="IE259" s="119"/>
      <c r="IF259" s="119"/>
      <c r="IG259" s="119"/>
      <c r="IH259" s="119"/>
      <c r="II259" s="119"/>
      <c r="IJ259" s="119"/>
      <c r="IK259" s="119"/>
      <c r="IL259" s="119"/>
      <c r="IM259" s="119"/>
      <c r="IN259" s="119"/>
      <c r="IO259" s="119"/>
      <c r="IP259" s="119"/>
      <c r="IQ259" s="119"/>
      <c r="IR259" s="119"/>
      <c r="IS259" s="119"/>
      <c r="IT259" s="119"/>
      <c r="IU259" s="119"/>
      <c r="IV259" s="119"/>
      <c r="IW259" s="119"/>
      <c r="IX259" s="119"/>
      <c r="IY259" s="119"/>
    </row>
    <row r="267" spans="2:259" ht="13.5" customHeight="1" x14ac:dyDescent="0.25">
      <c r="B267" s="454"/>
      <c r="C267" s="454"/>
      <c r="D267" s="454"/>
      <c r="E267" s="454"/>
      <c r="F267" s="454"/>
      <c r="G267" s="454"/>
      <c r="H267" s="454"/>
      <c r="I267" s="454"/>
      <c r="J267" s="454"/>
      <c r="K267" s="454"/>
      <c r="L267" s="454"/>
      <c r="M267" s="454"/>
      <c r="N267" s="454"/>
      <c r="O267" s="454"/>
      <c r="P267" s="117"/>
      <c r="Q267" s="293"/>
      <c r="R267" s="293"/>
      <c r="S267" s="124"/>
      <c r="T267" s="124"/>
      <c r="U267" s="293"/>
      <c r="V267" s="124"/>
      <c r="W267" s="124"/>
      <c r="X267" s="293"/>
      <c r="Y267" s="124"/>
      <c r="Z267" s="124"/>
      <c r="AA267" s="293"/>
      <c r="AB267" s="124"/>
      <c r="AC267" s="124"/>
      <c r="AD267" s="293"/>
      <c r="AE267" s="124"/>
      <c r="AF267" s="124"/>
      <c r="AG267" s="293"/>
      <c r="AH267" s="124"/>
      <c r="AI267" s="124"/>
      <c r="AJ267" s="293"/>
      <c r="AK267" s="124"/>
      <c r="AL267" s="124"/>
      <c r="AM267" s="293"/>
      <c r="AN267" s="124"/>
      <c r="AO267" s="124"/>
      <c r="AP267" s="293"/>
      <c r="AQ267" s="124"/>
      <c r="AR267" s="124"/>
      <c r="AS267" s="293"/>
      <c r="AT267" s="124"/>
      <c r="AU267" s="124"/>
      <c r="AV267" s="293"/>
      <c r="AW267" s="124"/>
      <c r="AX267" s="124"/>
      <c r="AY267" s="293"/>
      <c r="AZ267" s="124"/>
      <c r="BA267" s="124"/>
      <c r="BB267" s="293"/>
      <c r="BC267" s="124"/>
      <c r="BD267" s="124"/>
      <c r="BE267" s="293"/>
      <c r="BF267" s="124"/>
      <c r="BG267" s="124"/>
      <c r="BH267" s="293"/>
      <c r="BI267" s="124"/>
      <c r="BJ267" s="124"/>
      <c r="BK267" s="293"/>
      <c r="BL267" s="124"/>
      <c r="BM267" s="124"/>
      <c r="BN267" s="293"/>
      <c r="BO267" s="124"/>
      <c r="BP267" s="124"/>
      <c r="BQ267" s="293"/>
      <c r="BR267" s="124"/>
      <c r="BS267" s="124"/>
      <c r="BT267" s="293"/>
      <c r="BU267" s="124"/>
      <c r="BV267" s="124"/>
      <c r="BW267" s="293"/>
      <c r="BX267" s="124"/>
      <c r="BY267" s="124"/>
      <c r="EQ267" s="119"/>
      <c r="ER267" s="119"/>
      <c r="ES267" s="119"/>
      <c r="ET267" s="119"/>
    </row>
    <row r="268" spans="2:259" ht="13.5" customHeight="1" x14ac:dyDescent="0.2">
      <c r="B268" s="124"/>
      <c r="C268" s="124"/>
      <c r="D268" s="124"/>
      <c r="E268" s="124"/>
      <c r="F268" s="124"/>
      <c r="G268" s="124"/>
      <c r="H268" s="124"/>
      <c r="I268" s="124"/>
      <c r="J268" s="124"/>
      <c r="K268" s="124"/>
      <c r="L268" s="124"/>
      <c r="M268" s="124"/>
      <c r="N268" s="124"/>
      <c r="O268" s="122"/>
      <c r="P268" s="124"/>
      <c r="Q268" s="122"/>
      <c r="R268" s="124"/>
      <c r="S268" s="124"/>
      <c r="T268" s="124"/>
      <c r="U268" s="124"/>
      <c r="V268" s="124"/>
      <c r="W268" s="124"/>
      <c r="X268" s="124"/>
      <c r="Y268" s="124"/>
      <c r="Z268" s="124"/>
      <c r="AA268" s="124"/>
      <c r="AB268" s="124"/>
      <c r="AC268" s="124"/>
      <c r="AD268" s="124"/>
      <c r="AE268" s="124"/>
      <c r="AF268" s="124"/>
      <c r="AG268" s="124"/>
      <c r="AH268" s="124"/>
      <c r="AI268" s="124"/>
      <c r="AJ268" s="124"/>
      <c r="AK268" s="124"/>
      <c r="AL268" s="124"/>
      <c r="AM268" s="124"/>
      <c r="AN268" s="124"/>
      <c r="AO268" s="124"/>
      <c r="AP268" s="124"/>
      <c r="AQ268" s="124"/>
      <c r="AR268" s="124"/>
      <c r="AS268" s="124"/>
      <c r="AT268" s="124"/>
      <c r="AU268" s="124"/>
      <c r="AV268" s="124"/>
      <c r="AW268" s="124"/>
      <c r="AX268" s="124"/>
      <c r="AY268" s="124"/>
      <c r="AZ268" s="124"/>
      <c r="BA268" s="124"/>
      <c r="BB268" s="124"/>
      <c r="BC268" s="124"/>
      <c r="BD268" s="124"/>
      <c r="BE268" s="124"/>
      <c r="BF268" s="124"/>
      <c r="BG268" s="124"/>
      <c r="BH268" s="124"/>
      <c r="BI268" s="124"/>
      <c r="BJ268" s="124"/>
      <c r="BK268" s="124"/>
      <c r="BL268" s="124"/>
      <c r="BM268" s="124"/>
      <c r="BN268" s="124"/>
      <c r="BO268" s="124"/>
      <c r="BP268" s="124"/>
      <c r="BQ268" s="124"/>
      <c r="BR268" s="124"/>
      <c r="BS268" s="124"/>
      <c r="BT268" s="124"/>
      <c r="BU268" s="124"/>
      <c r="BV268" s="124"/>
      <c r="BW268" s="124"/>
      <c r="BX268" s="124"/>
      <c r="BY268" s="124"/>
    </row>
  </sheetData>
  <sortState xmlns:xlrd2="http://schemas.microsoft.com/office/spreadsheetml/2017/richdata2" ref="A14:IY41">
    <sortCondition descending="1" ref="M14:M41"/>
  </sortState>
  <mergeCells count="54">
    <mergeCell ref="BZ2:CA5"/>
    <mergeCell ref="B79:O79"/>
    <mergeCell ref="B86:O86"/>
    <mergeCell ref="B85:O85"/>
    <mergeCell ref="B83:O83"/>
    <mergeCell ref="B81:O81"/>
    <mergeCell ref="B84:O84"/>
    <mergeCell ref="B82:O82"/>
    <mergeCell ref="B80:O80"/>
    <mergeCell ref="AD2:AE5"/>
    <mergeCell ref="AG2:AH5"/>
    <mergeCell ref="BW2:BX5"/>
    <mergeCell ref="BE2:BF5"/>
    <mergeCell ref="BQ2:BR5"/>
    <mergeCell ref="BT2:BU5"/>
    <mergeCell ref="BK2:BL5"/>
    <mergeCell ref="B98:O98"/>
    <mergeCell ref="B99:O99"/>
    <mergeCell ref="B91:O91"/>
    <mergeCell ref="B95:O95"/>
    <mergeCell ref="B94:O94"/>
    <mergeCell ref="B92:O92"/>
    <mergeCell ref="CI2:CJ5"/>
    <mergeCell ref="B267:O267"/>
    <mergeCell ref="O196:P196"/>
    <mergeCell ref="B93:O93"/>
    <mergeCell ref="R2:S5"/>
    <mergeCell ref="AM2:AN5"/>
    <mergeCell ref="P3:P4"/>
    <mergeCell ref="AA2:AB5"/>
    <mergeCell ref="B87:O87"/>
    <mergeCell ref="B88:O88"/>
    <mergeCell ref="B89:O89"/>
    <mergeCell ref="B90:O90"/>
    <mergeCell ref="O195:P195"/>
    <mergeCell ref="B96:O96"/>
    <mergeCell ref="P11:P12"/>
    <mergeCell ref="B97:O97"/>
    <mergeCell ref="AY2:AZ5"/>
    <mergeCell ref="CM2:CQ2"/>
    <mergeCell ref="CP196:CV196"/>
    <mergeCell ref="U2:V5"/>
    <mergeCell ref="X2:Y5"/>
    <mergeCell ref="AJ2:AK5"/>
    <mergeCell ref="CC2:CD5"/>
    <mergeCell ref="AV2:AW5"/>
    <mergeCell ref="CP12:CV12"/>
    <mergeCell ref="CP4:CV4"/>
    <mergeCell ref="CF2:CG5"/>
    <mergeCell ref="AP2:AQ5"/>
    <mergeCell ref="BN2:BO5"/>
    <mergeCell ref="BH2:BI5"/>
    <mergeCell ref="BB2:BC5"/>
    <mergeCell ref="AS2:AT5"/>
  </mergeCells>
  <phoneticPr fontId="9" type="noConversion"/>
  <conditionalFormatting sqref="K145:K148">
    <cfRule type="expression" dxfId="112" priority="92" stopIfTrue="1">
      <formula>E145-F145&gt;=5</formula>
    </cfRule>
  </conditionalFormatting>
  <conditionalFormatting sqref="J145:J148">
    <cfRule type="expression" dxfId="111" priority="93" stopIfTrue="1">
      <formula>E145-F145&gt;=5</formula>
    </cfRule>
  </conditionalFormatting>
  <conditionalFormatting sqref="K198:K231 I15 K29:K30 K37:K41 K32 K14:K15 K6:K9 K17 K25:K26">
    <cfRule type="expression" dxfId="110" priority="94" stopIfTrue="1">
      <formula>C6-D6&lt;5</formula>
    </cfRule>
  </conditionalFormatting>
  <conditionalFormatting sqref="P145:P148">
    <cfRule type="expression" dxfId="109" priority="95" stopIfTrue="1">
      <formula>IF(#REF!="-",IF(E145="-",CR145,E145-F145&lt;5),IF(E145="-",#REF!-#REF!&lt;5,#REF!-#REF!+E145-F145&lt;5))</formula>
    </cfRule>
  </conditionalFormatting>
  <conditionalFormatting sqref="P198:P204 P221:P231 P206:P219 P29:P30 P37:P41 P32 P14:P15 P6:P9 P17 P25:P26">
    <cfRule type="expression" dxfId="108" priority="96" stopIfTrue="1">
      <formula>IF(CQ6="-",IF(E6="-",CX6,E6-F6&lt;5),IF(E6="-",CQ6-CR6&lt;5,CQ6-CR6+E6-F6&lt;5))</formula>
    </cfRule>
  </conditionalFormatting>
  <conditionalFormatting sqref="O6:O9 O14:O41">
    <cfRule type="expression" dxfId="107" priority="98" stopIfTrue="1">
      <formula>IF(CQ6="-",IF(E6="-",CX6,E6-F6&lt;5),IF(E6="-",CQ6-CR6&lt;5,CQ6-CR6+E6-F6&lt;5))</formula>
    </cfRule>
  </conditionalFormatting>
  <conditionalFormatting sqref="K16">
    <cfRule type="expression" dxfId="106" priority="84" stopIfTrue="1">
      <formula>E16-F16&lt;5</formula>
    </cfRule>
  </conditionalFormatting>
  <conditionalFormatting sqref="P16">
    <cfRule type="expression" dxfId="105" priority="85" stopIfTrue="1">
      <formula>IF(CQ16="-",IF(E16="-",CX16,E16-F16&lt;5),IF(E16="-",CQ16-CR16&lt;5,CQ16-CR16+E16-F16&lt;5))</formula>
    </cfRule>
  </conditionalFormatting>
  <conditionalFormatting sqref="K31">
    <cfRule type="expression" dxfId="104" priority="66" stopIfTrue="1">
      <formula>E31-F31&lt;5</formula>
    </cfRule>
  </conditionalFormatting>
  <conditionalFormatting sqref="P31">
    <cfRule type="expression" dxfId="103" priority="67" stopIfTrue="1">
      <formula>IF(CQ31="-",IF(E31="-",CX31,E31-F31&lt;5),IF(E31="-",CQ31-CR31&lt;5,CQ31-CR31+E31-F31&lt;5))</formula>
    </cfRule>
  </conditionalFormatting>
  <conditionalFormatting sqref="CV31">
    <cfRule type="expression" dxfId="102" priority="68" stopIfTrue="1">
      <formula>AND(CQ31-CR31&lt;5,CS31&lt;200)</formula>
    </cfRule>
  </conditionalFormatting>
  <conditionalFormatting sqref="K24">
    <cfRule type="expression" dxfId="101" priority="58" stopIfTrue="1">
      <formula>E24-F24&lt;5</formula>
    </cfRule>
  </conditionalFormatting>
  <conditionalFormatting sqref="P24">
    <cfRule type="expression" dxfId="100" priority="59" stopIfTrue="1">
      <formula>IF(CQ24="-",IF(E24="-",CX24,E24-F24&lt;5),IF(E24="-",CQ24-CR24&lt;5,CQ24-CR24+E24-F24&lt;5))</formula>
    </cfRule>
  </conditionalFormatting>
  <conditionalFormatting sqref="K27">
    <cfRule type="expression" dxfId="99" priority="54" stopIfTrue="1">
      <formula>E27-F27&lt;5</formula>
    </cfRule>
  </conditionalFormatting>
  <conditionalFormatting sqref="P27">
    <cfRule type="expression" dxfId="98" priority="55" stopIfTrue="1">
      <formula>IF(CQ27="-",IF(E27="-",CX27,E27-F27&lt;5),IF(E27="-",CQ27-CR27&lt;5,CQ27-CR27+E27-F27&lt;5))</formula>
    </cfRule>
  </conditionalFormatting>
  <conditionalFormatting sqref="K28">
    <cfRule type="expression" dxfId="97" priority="50" stopIfTrue="1">
      <formula>E28-F28&lt;5</formula>
    </cfRule>
  </conditionalFormatting>
  <conditionalFormatting sqref="P28">
    <cfRule type="expression" dxfId="96" priority="51" stopIfTrue="1">
      <formula>IF(CQ28="-",IF(E28="-",CX28,E28-F28&lt;5),IF(E28="-",CQ28-CR28&lt;5,CQ28-CR28+E28-F28&lt;5))</formula>
    </cfRule>
  </conditionalFormatting>
  <conditionalFormatting sqref="CV28">
    <cfRule type="expression" dxfId="95" priority="52" stopIfTrue="1">
      <formula>AND(CQ28-CR28&lt;5,CS28&lt;200)</formula>
    </cfRule>
  </conditionalFormatting>
  <conditionalFormatting sqref="K19">
    <cfRule type="expression" dxfId="94" priority="46" stopIfTrue="1">
      <formula>E19-F19&lt;5</formula>
    </cfRule>
  </conditionalFormatting>
  <conditionalFormatting sqref="P19">
    <cfRule type="expression" dxfId="93" priority="47" stopIfTrue="1">
      <formula>IF(CQ19="-",IF(E19="-",CX19,E19-F19&lt;5),IF(E19="-",CQ19-CR19&lt;5,CQ19-CR19+E19-F19&lt;5))</formula>
    </cfRule>
  </conditionalFormatting>
  <conditionalFormatting sqref="K34">
    <cfRule type="expression" dxfId="92" priority="38" stopIfTrue="1">
      <formula>E34-F34&lt;5</formula>
    </cfRule>
  </conditionalFormatting>
  <conditionalFormatting sqref="P34">
    <cfRule type="expression" dxfId="91" priority="39" stopIfTrue="1">
      <formula>IF(CQ34="-",IF(E34="-",CX34,E34-F34&lt;5),IF(E34="-",CQ34-CR34&lt;5,CQ34-CR34+E34-F34&lt;5))</formula>
    </cfRule>
  </conditionalFormatting>
  <conditionalFormatting sqref="CV34">
    <cfRule type="expression" dxfId="90" priority="40" stopIfTrue="1">
      <formula>AND(CQ34-CR34&lt;5,CS34&lt;200)</formula>
    </cfRule>
  </conditionalFormatting>
  <conditionalFormatting sqref="K18">
    <cfRule type="expression" dxfId="89" priority="34" stopIfTrue="1">
      <formula>E18-F18&lt;5</formula>
    </cfRule>
  </conditionalFormatting>
  <conditionalFormatting sqref="P18">
    <cfRule type="expression" dxfId="88" priority="35" stopIfTrue="1">
      <formula>IF(CQ18="-",IF(E18="-",CX18,E18-F18&lt;5),IF(E18="-",CQ18-CR18&lt;5,CQ18-CR18+E18-F18&lt;5))</formula>
    </cfRule>
  </conditionalFormatting>
  <conditionalFormatting sqref="CV18">
    <cfRule type="expression" dxfId="87" priority="36" stopIfTrue="1">
      <formula>AND(CQ18-CR18&lt;5,CS18&lt;200)</formula>
    </cfRule>
  </conditionalFormatting>
  <conditionalFormatting sqref="K20">
    <cfRule type="expression" dxfId="86" priority="30" stopIfTrue="1">
      <formula>E20-F20&lt;5</formula>
    </cfRule>
  </conditionalFormatting>
  <conditionalFormatting sqref="P20">
    <cfRule type="expression" dxfId="85" priority="31" stopIfTrue="1">
      <formula>IF(CQ20="-",IF(E20="-",CX20,E20-F20&lt;5),IF(E20="-",CQ20-CR20&lt;5,CQ20-CR20+E20-F20&lt;5))</formula>
    </cfRule>
  </conditionalFormatting>
  <conditionalFormatting sqref="K21">
    <cfRule type="expression" dxfId="84" priority="26" stopIfTrue="1">
      <formula>E21-F21&lt;5</formula>
    </cfRule>
  </conditionalFormatting>
  <conditionalFormatting sqref="P21">
    <cfRule type="expression" dxfId="83" priority="27" stopIfTrue="1">
      <formula>IF(CQ21="-",IF(E21="-",CX21,E21-F21&lt;5),IF(E21="-",CQ21-CR21&lt;5,CQ21-CR21+E21-F21&lt;5))</formula>
    </cfRule>
  </conditionalFormatting>
  <conditionalFormatting sqref="K23">
    <cfRule type="expression" dxfId="82" priority="22" stopIfTrue="1">
      <formula>E23-F23&lt;5</formula>
    </cfRule>
  </conditionalFormatting>
  <conditionalFormatting sqref="P23">
    <cfRule type="expression" dxfId="81" priority="23" stopIfTrue="1">
      <formula>IF(CQ23="-",IF(E23="-",CX23,E23-F23&lt;5),IF(E23="-",CQ23-CR23&lt;5,CQ23-CR23+E23-F23&lt;5))</formula>
    </cfRule>
  </conditionalFormatting>
  <conditionalFormatting sqref="K36">
    <cfRule type="expression" dxfId="80" priority="18" stopIfTrue="1">
      <formula>E36-F36&lt;5</formula>
    </cfRule>
  </conditionalFormatting>
  <conditionalFormatting sqref="P36">
    <cfRule type="expression" dxfId="79" priority="19" stopIfTrue="1">
      <formula>IF(CQ36="-",IF(E36="-",CX36,E36-F36&lt;5),IF(E36="-",CQ36-CR36&lt;5,CQ36-CR36+E36-F36&lt;5))</formula>
    </cfRule>
  </conditionalFormatting>
  <conditionalFormatting sqref="CV36">
    <cfRule type="expression" dxfId="78" priority="20" stopIfTrue="1">
      <formula>AND(CQ36-CR36&lt;5,CS36&lt;200)</formula>
    </cfRule>
  </conditionalFormatting>
  <conditionalFormatting sqref="K35">
    <cfRule type="expression" dxfId="77" priority="14" stopIfTrue="1">
      <formula>E35-F35&lt;5</formula>
    </cfRule>
  </conditionalFormatting>
  <conditionalFormatting sqref="P35">
    <cfRule type="expression" dxfId="76" priority="15" stopIfTrue="1">
      <formula>IF(CQ35="-",IF(E35="-",CX35,E35-F35&lt;5),IF(E35="-",CQ35-CR35&lt;5,CQ35-CR35+E35-F35&lt;5))</formula>
    </cfRule>
  </conditionalFormatting>
  <conditionalFormatting sqref="CV35">
    <cfRule type="expression" dxfId="75" priority="16" stopIfTrue="1">
      <formula>AND(CQ35-CR35&lt;5,CS35&lt;200)</formula>
    </cfRule>
  </conditionalFormatting>
  <conditionalFormatting sqref="K22">
    <cfRule type="expression" dxfId="74" priority="10" stopIfTrue="1">
      <formula>E22-F22&lt;5</formula>
    </cfRule>
  </conditionalFormatting>
  <conditionalFormatting sqref="P22">
    <cfRule type="expression" dxfId="73" priority="11" stopIfTrue="1">
      <formula>IF(CQ22="-",IF(E22="-",CX22,E22-F22&lt;5),IF(E22="-",CQ22-CR22&lt;5,CQ22-CR22+E22-F22&lt;5))</formula>
    </cfRule>
  </conditionalFormatting>
  <conditionalFormatting sqref="K33">
    <cfRule type="expression" dxfId="72" priority="6" stopIfTrue="1">
      <formula>E33-F33&lt;5</formula>
    </cfRule>
  </conditionalFormatting>
  <conditionalFormatting sqref="P33">
    <cfRule type="expression" dxfId="71" priority="7" stopIfTrue="1">
      <formula>IF(CQ33="-",IF(E33="-",CX33,E33-F33&lt;5),IF(E33="-",CQ33-CR33&lt;5,CQ33-CR33+E33-F33&lt;5))</formula>
    </cfRule>
  </conditionalFormatting>
  <conditionalFormatting sqref="CV33">
    <cfRule type="expression" dxfId="70" priority="8" stopIfTrue="1">
      <formula>AND(CQ33-CR33&lt;5,CS33&lt;200)</formula>
    </cfRule>
  </conditionalFormatting>
  <conditionalFormatting sqref="J6:J9 J14:J41">
    <cfRule type="expression" dxfId="69" priority="2" stopIfTrue="1">
      <formula>AND(E6-F6&lt;5,G6&lt;200)</formula>
    </cfRule>
  </conditionalFormatting>
  <pageMargins left="0.75" right="0.75" top="1" bottom="1" header="0.5" footer="0.5"/>
  <pageSetup paperSize="9" orientation="portrait" horizontalDpi="4294967293" verticalDpi="1200" r:id="rId1"/>
  <headerFooter alignWithMargins="0"/>
  <ignoredErrors>
    <ignoredError sqref="CB206:IY65566 CB100:IY205 CB2:CE2 BU2:BV2 BT3:BT4 BR2:BS2 BQ3:BQ4 BO2:BP2 BN3:BN4 BL2:BM2 K81:O82 B86:O94 B84:O84 N2:P2 Q2:W2 BK3:BK4 K79:O79 B80:J80 Q3:BJ4 BL3:BM4 BO3:BP4 BR3:BS4 N1:BX1 BU3:BV4 CB1:IY1 CB3:IY4 CB5:IY5 BU5:BV5 BR5:BS5 BO5:BP5 BL5:BM5 A1:M5 N3:O5 Q5:BJ5 BK5 BN5 BQ5 BT5 P89:BV94 BW79:BX94 A79:A94 B79:J79 B81:J82 CB10:IY13 P3:P5 BX42 BW3:BX5 B10:Q10 A10:A13 K80:O80 B85:O85 CB79:IY99 B83:O83 Y2:Z2 AB2:AC2 AE2:AF2 AH2:AI2 AK2:AL2 AN2:AO2 AQ2:AR2 AT2:AU2 AW2:AX2 AZ2:BA2 BC2:BD2 BF2:BG2 BI2:BJ2 BX2 AL10:AL13 AO10:BX13 AT42:AU42 BU42:BV42 BR42:BS42 BO42:BP42 BL42:BM42 BI42:BJ42 BG42 BC42:BD42 AZ42:BA42 AW42:AX42 P79:AR88 AT79:BV88 N42:Q42 A215:BX65566 A95:BX99 A100:BX205 A206:BX214 CG2:CH2 CJ2:IY2 B13:AI13 B11:Q11 AB10:AI10 B12:Q12 AB11:AI12 CB42:IY42 A42:L42" evalError="1" 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VU205"/>
  <sheetViews>
    <sheetView zoomScaleNormal="100" workbookViewId="0">
      <pane xSplit="24" ySplit="4" topLeftCell="Y5" activePane="bottomRight" state="frozen"/>
      <selection activeCell="E7" sqref="E7:G10"/>
      <selection pane="topRight" activeCell="E7" sqref="E7:G10"/>
      <selection pane="bottomLeft" activeCell="E7" sqref="E7:G10"/>
      <selection pane="bottomRight" activeCell="A137" sqref="A137"/>
    </sheetView>
  </sheetViews>
  <sheetFormatPr defaultColWidth="9.140625" defaultRowHeight="12.6" customHeight="1" x14ac:dyDescent="0.2"/>
  <cols>
    <col min="1" max="1" width="1.85546875" style="126" customWidth="1"/>
    <col min="2" max="2" width="23.5703125" style="126" customWidth="1"/>
    <col min="3" max="3" width="5.28515625" style="126" customWidth="1"/>
    <col min="4" max="5" width="4.28515625" style="126" customWidth="1"/>
    <col min="6" max="6" width="4.85546875" style="126" bestFit="1" customWidth="1"/>
    <col min="7" max="9" width="4.28515625" style="126" customWidth="1"/>
    <col min="10" max="10" width="5.28515625" style="126" customWidth="1"/>
    <col min="11" max="11" width="4.28515625" style="126" customWidth="1"/>
    <col min="12" max="12" width="5.42578125" style="126" bestFit="1" customWidth="1"/>
    <col min="13" max="13" width="1" style="126" customWidth="1"/>
    <col min="14" max="17" width="3.5703125" style="126" customWidth="1"/>
    <col min="18" max="18" width="1" style="126" customWidth="1"/>
    <col min="19" max="19" width="7" style="126" customWidth="1"/>
    <col min="20" max="20" width="1" style="126" customWidth="1"/>
    <col min="21" max="22" width="5.28515625" style="126" customWidth="1"/>
    <col min="23" max="23" width="5.7109375" style="126" customWidth="1"/>
    <col min="24" max="24" width="1" style="126" customWidth="1"/>
    <col min="25" max="28" width="3.140625" style="126" customWidth="1"/>
    <col min="29" max="29" width="0.42578125" style="126" customWidth="1"/>
    <col min="30" max="33" width="3.140625" style="126" customWidth="1"/>
    <col min="34" max="34" width="0.42578125" style="126" customWidth="1"/>
    <col min="35" max="38" width="3.140625" style="126" customWidth="1"/>
    <col min="39" max="39" width="0.42578125" style="126" customWidth="1"/>
    <col min="40" max="43" width="3.140625" style="126" customWidth="1"/>
    <col min="44" max="44" width="0.42578125" style="126" customWidth="1"/>
    <col min="45" max="48" width="3.140625" style="126" customWidth="1"/>
    <col min="49" max="49" width="0.42578125" style="126" customWidth="1"/>
    <col min="50" max="53" width="3.140625" style="126" customWidth="1"/>
    <col min="54" max="54" width="0.42578125" style="126" customWidth="1"/>
    <col min="55" max="58" width="3.140625" style="126" customWidth="1"/>
    <col min="59" max="59" width="0.42578125" style="126" customWidth="1"/>
    <col min="60" max="63" width="3.140625" style="126" customWidth="1"/>
    <col min="64" max="64" width="0.42578125" style="126" customWidth="1"/>
    <col min="65" max="68" width="3.140625" style="126" customWidth="1"/>
    <col min="69" max="69" width="0.42578125" style="126" customWidth="1"/>
    <col min="70" max="73" width="3.140625" style="126" customWidth="1"/>
    <col min="74" max="74" width="0.42578125" style="126" customWidth="1"/>
    <col min="75" max="78" width="3.140625" style="126" customWidth="1"/>
    <col min="79" max="79" width="0.42578125" style="126" customWidth="1"/>
    <col min="80" max="83" width="3.140625" style="126" customWidth="1"/>
    <col min="84" max="84" width="0.42578125" style="126" customWidth="1"/>
    <col min="85" max="88" width="3.140625" style="126" customWidth="1"/>
    <col min="89" max="89" width="0.42578125" style="126" customWidth="1"/>
    <col min="90" max="93" width="3.140625" style="126" customWidth="1"/>
    <col min="94" max="94" width="0.42578125" style="126" customWidth="1"/>
    <col min="95" max="98" width="3.140625" style="126" customWidth="1"/>
    <col min="99" max="99" width="0.42578125" style="126" customWidth="1"/>
    <col min="100" max="103" width="3.140625" style="126" customWidth="1"/>
    <col min="104" max="104" width="0.42578125" style="126" customWidth="1"/>
    <col min="105" max="108" width="3.140625" style="126" customWidth="1"/>
    <col min="109" max="109" width="0.42578125" style="126" customWidth="1"/>
    <col min="110" max="113" width="3.140625" style="126" customWidth="1"/>
    <col min="114" max="114" width="0.42578125" style="126" customWidth="1"/>
    <col min="115" max="118" width="3.140625" style="126" customWidth="1"/>
    <col min="119" max="119" width="0.42578125" style="126" customWidth="1"/>
    <col min="120" max="123" width="3.140625" style="126" customWidth="1"/>
    <col min="124" max="124" width="0.42578125" style="126" customWidth="1"/>
    <col min="125" max="128" width="3.140625" style="116" customWidth="1"/>
    <col min="129" max="129" width="0.42578125" style="116" customWidth="1"/>
    <col min="130" max="131" width="3.140625" style="116" customWidth="1"/>
    <col min="132" max="133" width="3.140625" style="126" customWidth="1"/>
    <col min="134" max="134" width="0.42578125" style="126" customWidth="1"/>
    <col min="135" max="138" width="3.140625" style="126" customWidth="1"/>
    <col min="139" max="139" width="0.42578125" style="126" customWidth="1"/>
    <col min="140" max="143" width="3.140625" style="126" customWidth="1"/>
    <col min="144" max="144" width="0.42578125" style="126" customWidth="1"/>
    <col min="145" max="148" width="3.140625" style="126" customWidth="1"/>
    <col min="149" max="149" width="0.42578125" style="126" customWidth="1"/>
    <col min="150" max="153" width="3.140625" style="126" customWidth="1"/>
    <col min="154" max="154" width="3.5703125" style="126" customWidth="1"/>
    <col min="155" max="158" width="4.28515625" style="126" customWidth="1"/>
    <col min="159" max="159" width="5.28515625" style="126" customWidth="1"/>
    <col min="160" max="160" width="4.28515625" style="126" customWidth="1"/>
    <col min="161" max="161" width="5.28515625" style="126" customWidth="1"/>
    <col min="162" max="164" width="4.28515625" style="126" customWidth="1"/>
    <col min="165" max="165" width="5.28515625" style="126" customWidth="1"/>
    <col min="166" max="166" width="1" style="126" customWidth="1"/>
    <col min="167" max="167" width="6.42578125" style="126" customWidth="1"/>
    <col min="168" max="168" width="9.140625" style="126"/>
    <col min="169" max="169" width="4.28515625" style="126" customWidth="1"/>
    <col min="170" max="170" width="5.28515625" style="126" customWidth="1"/>
    <col min="171" max="171" width="4.28515625" style="126" customWidth="1"/>
    <col min="172" max="172" width="5.28515625" style="126" customWidth="1"/>
    <col min="173" max="175" width="4.28515625" style="126" customWidth="1"/>
    <col min="176" max="176" width="5.28515625" style="126" customWidth="1"/>
    <col min="177" max="219" width="9.140625" style="126"/>
    <col min="220" max="220" width="9.140625" style="126" customWidth="1"/>
    <col min="221" max="16384" width="9.140625" style="126"/>
  </cols>
  <sheetData>
    <row r="1" spans="1:187" ht="13.5" customHeight="1" x14ac:dyDescent="0.2">
      <c r="A1" s="301"/>
      <c r="S1" s="240"/>
      <c r="V1" s="240"/>
    </row>
    <row r="2" spans="1:187" ht="13.5" customHeight="1" x14ac:dyDescent="0.2">
      <c r="A2" s="302"/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  <c r="P2" s="118"/>
      <c r="Q2" s="118"/>
      <c r="R2" s="118"/>
      <c r="S2" s="179" t="s">
        <v>17</v>
      </c>
      <c r="T2" s="118"/>
      <c r="U2" s="337" t="s">
        <v>172</v>
      </c>
      <c r="V2" s="338"/>
      <c r="W2" s="457" t="s">
        <v>173</v>
      </c>
      <c r="X2" s="118"/>
      <c r="Y2" s="118"/>
      <c r="Z2" s="118"/>
      <c r="AA2" s="118"/>
      <c r="AB2" s="118"/>
      <c r="AC2" s="118"/>
      <c r="AD2" s="118"/>
      <c r="AE2" s="118"/>
      <c r="AF2" s="118"/>
      <c r="AG2" s="118"/>
      <c r="AH2" s="118"/>
      <c r="AI2" s="118"/>
      <c r="AJ2" s="118"/>
      <c r="AK2" s="118"/>
      <c r="AL2" s="118"/>
      <c r="AM2" s="118"/>
      <c r="AN2" s="118"/>
      <c r="AO2" s="118"/>
      <c r="AP2" s="118"/>
      <c r="AQ2" s="118"/>
      <c r="AR2" s="118"/>
      <c r="AS2" s="118"/>
      <c r="AT2" s="118"/>
      <c r="AU2" s="118"/>
      <c r="AV2" s="118"/>
      <c r="AW2" s="118"/>
      <c r="AX2" s="118"/>
      <c r="AY2" s="118"/>
      <c r="AZ2" s="118"/>
      <c r="BA2" s="118"/>
      <c r="BB2" s="118"/>
      <c r="BC2" s="118"/>
      <c r="BD2" s="118"/>
      <c r="BE2" s="118"/>
      <c r="BF2" s="118"/>
      <c r="BG2" s="118"/>
      <c r="BH2" s="118"/>
      <c r="BI2" s="118"/>
      <c r="BJ2" s="118"/>
      <c r="BK2" s="118"/>
      <c r="BL2" s="118"/>
      <c r="BM2" s="118"/>
      <c r="BN2" s="118"/>
      <c r="BO2" s="118"/>
      <c r="BP2" s="118"/>
      <c r="BQ2" s="118"/>
      <c r="BR2" s="118"/>
      <c r="BS2" s="118"/>
      <c r="BT2" s="118"/>
      <c r="BU2" s="118"/>
      <c r="BV2" s="118"/>
      <c r="BW2" s="118"/>
      <c r="BX2" s="118"/>
      <c r="BY2" s="118"/>
      <c r="BZ2" s="118"/>
      <c r="CA2" s="118"/>
      <c r="CB2" s="118"/>
      <c r="CC2" s="118"/>
      <c r="CD2" s="118"/>
      <c r="CE2" s="118"/>
      <c r="CF2" s="118"/>
      <c r="CG2" s="118"/>
      <c r="CH2" s="118"/>
      <c r="CI2" s="118"/>
      <c r="CJ2" s="118"/>
      <c r="CK2" s="118"/>
      <c r="CL2" s="118"/>
      <c r="CM2" s="118"/>
      <c r="CN2" s="118"/>
      <c r="CO2" s="118"/>
      <c r="CP2" s="118"/>
      <c r="CQ2" s="118"/>
      <c r="CR2" s="118"/>
      <c r="CS2" s="118"/>
      <c r="CT2" s="118"/>
      <c r="CU2" s="118"/>
      <c r="CV2" s="118"/>
      <c r="CW2" s="118"/>
      <c r="CX2" s="118"/>
      <c r="CY2" s="118"/>
      <c r="CZ2" s="118"/>
      <c r="DA2" s="118"/>
      <c r="DB2" s="118"/>
      <c r="DC2" s="118"/>
      <c r="DD2" s="118"/>
      <c r="DE2" s="118"/>
      <c r="DF2" s="118"/>
      <c r="DG2" s="118"/>
      <c r="DH2" s="118"/>
      <c r="DI2" s="118"/>
      <c r="DJ2" s="118"/>
      <c r="DK2" s="118"/>
      <c r="DL2" s="118"/>
      <c r="DM2" s="118"/>
      <c r="DN2" s="118"/>
      <c r="DO2" s="118"/>
      <c r="DP2" s="118"/>
      <c r="DQ2" s="118"/>
      <c r="DR2" s="118"/>
      <c r="DS2" s="118"/>
      <c r="DT2" s="118"/>
      <c r="DY2" s="303"/>
    </row>
    <row r="3" spans="1:187" s="118" customFormat="1" ht="13.5" customHeight="1" x14ac:dyDescent="0.2">
      <c r="B3" s="122"/>
      <c r="C3" s="122"/>
      <c r="D3" s="122"/>
      <c r="E3" s="122"/>
      <c r="F3" s="123"/>
      <c r="G3" s="123"/>
      <c r="H3" s="123"/>
      <c r="I3" s="123"/>
      <c r="J3" s="187" t="s">
        <v>58</v>
      </c>
      <c r="K3" s="187" t="s">
        <v>59</v>
      </c>
      <c r="L3" s="187" t="s">
        <v>60</v>
      </c>
      <c r="M3" s="123"/>
      <c r="N3" s="184" t="s">
        <v>61</v>
      </c>
      <c r="O3" s="185"/>
      <c r="P3" s="185"/>
      <c r="Q3" s="186"/>
      <c r="R3" s="124" t="s">
        <v>19</v>
      </c>
      <c r="S3" s="235" t="s">
        <v>28</v>
      </c>
      <c r="T3" s="123"/>
      <c r="U3" s="339" t="s">
        <v>174</v>
      </c>
      <c r="V3" s="340"/>
      <c r="W3" s="458"/>
      <c r="X3" s="122"/>
      <c r="Y3" s="341" t="str">
        <f>Fixtures!C3</f>
        <v>Highgate</v>
      </c>
      <c r="Z3" s="342"/>
      <c r="AA3" s="342"/>
      <c r="AB3" s="343"/>
      <c r="AC3" s="122" t="s">
        <v>19</v>
      </c>
      <c r="AD3" s="341" t="str">
        <f>Fixtures!C4</f>
        <v>Harrow St. Mary's</v>
      </c>
      <c r="AE3" s="342"/>
      <c r="AF3" s="342"/>
      <c r="AG3" s="343"/>
      <c r="AH3" s="122" t="s">
        <v>19</v>
      </c>
      <c r="AI3" s="341" t="str">
        <f>Fixtures!C5</f>
        <v>Ickenham</v>
      </c>
      <c r="AJ3" s="342"/>
      <c r="AK3" s="342"/>
      <c r="AL3" s="343"/>
      <c r="AM3" s="122"/>
      <c r="AN3" s="341" t="str">
        <f>Fixtures!C6</f>
        <v>Northwood</v>
      </c>
      <c r="AO3" s="342"/>
      <c r="AP3" s="342"/>
      <c r="AQ3" s="343"/>
      <c r="AR3" s="122"/>
      <c r="AS3" s="341" t="str">
        <f>Fixtures!C7</f>
        <v>Kew</v>
      </c>
      <c r="AT3" s="342"/>
      <c r="AU3" s="342"/>
      <c r="AV3" s="343"/>
      <c r="AW3" s="122" t="s">
        <v>19</v>
      </c>
      <c r="AX3" s="341" t="str">
        <f>Fixtures!C8</f>
        <v>Barnes</v>
      </c>
      <c r="AY3" s="342"/>
      <c r="AZ3" s="342"/>
      <c r="BA3" s="343"/>
      <c r="BB3" s="122" t="s">
        <v>19</v>
      </c>
      <c r="BC3" s="341" t="str">
        <f>Fixtures!C9</f>
        <v>Putney</v>
      </c>
      <c r="BD3" s="342"/>
      <c r="BE3" s="342"/>
      <c r="BF3" s="343"/>
      <c r="BG3" s="122"/>
      <c r="BH3" s="341" t="str">
        <f>Fixtures!C10</f>
        <v>Chingford</v>
      </c>
      <c r="BI3" s="342"/>
      <c r="BJ3" s="342"/>
      <c r="BK3" s="343"/>
      <c r="BL3" s="122" t="s">
        <v>19</v>
      </c>
      <c r="BM3" s="341" t="str">
        <f>Fixtures!C11</f>
        <v>North Enfield</v>
      </c>
      <c r="BN3" s="342"/>
      <c r="BO3" s="342"/>
      <c r="BP3" s="343"/>
      <c r="BQ3" s="122"/>
      <c r="BR3" s="341" t="str">
        <f>Fixtures!C12</f>
        <v>Shepperton</v>
      </c>
      <c r="BS3" s="342"/>
      <c r="BT3" s="342"/>
      <c r="BU3" s="343"/>
      <c r="BV3" s="122"/>
      <c r="BW3" s="341" t="str">
        <f>Fixtures!C13</f>
        <v>Royal Household</v>
      </c>
      <c r="BX3" s="342"/>
      <c r="BY3" s="342"/>
      <c r="BZ3" s="343"/>
      <c r="CA3" s="122"/>
      <c r="CB3" s="341" t="str">
        <f>Fixtures!C14</f>
        <v>Crouch End</v>
      </c>
      <c r="CC3" s="342"/>
      <c r="CD3" s="342"/>
      <c r="CE3" s="343"/>
      <c r="CF3" s="122"/>
      <c r="CG3" s="341" t="str">
        <f>Fixtures!C15</f>
        <v>Holtwhites Trinibis</v>
      </c>
      <c r="CH3" s="342"/>
      <c r="CI3" s="342"/>
      <c r="CJ3" s="343"/>
      <c r="CK3" s="122"/>
      <c r="CL3" s="341" t="str">
        <f>Fixtures!C16</f>
        <v>Teddington</v>
      </c>
      <c r="CM3" s="342"/>
      <c r="CN3" s="342"/>
      <c r="CO3" s="343"/>
      <c r="CP3" s="122"/>
      <c r="CQ3" s="341" t="str">
        <f>Fixtures!C17</f>
        <v>Old Wimbledonians</v>
      </c>
      <c r="CR3" s="342"/>
      <c r="CS3" s="342"/>
      <c r="CT3" s="343"/>
      <c r="CU3" s="122"/>
      <c r="CV3" s="341" t="str">
        <f>Fixtures!C18</f>
        <v>Shepherd's Bush</v>
      </c>
      <c r="CW3" s="342"/>
      <c r="CX3" s="342"/>
      <c r="CY3" s="343"/>
      <c r="CZ3" s="122" t="s">
        <v>19</v>
      </c>
      <c r="DA3" s="341" t="str">
        <f>Fixtures!C19</f>
        <v>Missenden Misfits</v>
      </c>
      <c r="DB3" s="342"/>
      <c r="DC3" s="342"/>
      <c r="DD3" s="343"/>
      <c r="DE3" s="122" t="s">
        <v>19</v>
      </c>
      <c r="DF3" s="341" t="str">
        <f>Fixtures!C20</f>
        <v>Post Modernists</v>
      </c>
      <c r="DG3" s="342"/>
      <c r="DH3" s="342"/>
      <c r="DI3" s="343"/>
      <c r="DJ3" s="122" t="s">
        <v>19</v>
      </c>
      <c r="DK3" s="341" t="str">
        <f>Fixtures!C21</f>
        <v>Nevill Holt</v>
      </c>
      <c r="DL3" s="342"/>
      <c r="DM3" s="342"/>
      <c r="DN3" s="343"/>
      <c r="DO3" s="122" t="s">
        <v>19</v>
      </c>
      <c r="DP3" s="341" t="str">
        <f>Fixtures!C22</f>
        <v>Wembley</v>
      </c>
      <c r="DQ3" s="342"/>
      <c r="DR3" s="342"/>
      <c r="DS3" s="343"/>
      <c r="DT3" s="122" t="s">
        <v>19</v>
      </c>
      <c r="DU3" s="308"/>
      <c r="DV3" s="124"/>
      <c r="DW3" s="124"/>
      <c r="DX3" s="124"/>
      <c r="DY3" s="124"/>
      <c r="DZ3" s="308"/>
      <c r="EA3" s="124"/>
      <c r="EB3" s="124"/>
      <c r="EC3" s="124"/>
      <c r="ED3" s="307" t="s">
        <v>19</v>
      </c>
      <c r="EE3" s="309" t="s">
        <v>19</v>
      </c>
      <c r="EF3" s="307"/>
      <c r="EG3" s="307"/>
      <c r="EH3" s="307"/>
      <c r="EI3" s="307"/>
      <c r="EJ3" s="309"/>
      <c r="EK3" s="307"/>
      <c r="EL3" s="307"/>
      <c r="EM3" s="307"/>
      <c r="EN3" s="307"/>
      <c r="EO3" s="309"/>
      <c r="EP3" s="307"/>
      <c r="EQ3" s="307"/>
      <c r="ER3" s="307"/>
      <c r="ES3" s="307"/>
      <c r="ET3" s="309"/>
      <c r="EU3" s="307"/>
      <c r="EV3" s="307"/>
      <c r="EW3" s="307"/>
      <c r="FB3" s="464" t="s">
        <v>145</v>
      </c>
      <c r="FC3" s="471"/>
      <c r="FD3" s="471"/>
      <c r="FE3" s="471"/>
      <c r="FF3" s="471"/>
      <c r="FG3" s="471"/>
      <c r="FH3" s="471"/>
      <c r="FI3" s="472"/>
      <c r="FJ3" s="118" t="s">
        <v>19</v>
      </c>
      <c r="FK3" s="245" t="s">
        <v>20</v>
      </c>
      <c r="FM3" s="310"/>
      <c r="FN3" s="310"/>
      <c r="FO3" s="310"/>
      <c r="FP3" s="310"/>
      <c r="FQ3" s="310"/>
      <c r="FR3" s="310"/>
      <c r="FS3" s="310"/>
      <c r="FT3" s="310"/>
      <c r="FU3" s="126"/>
      <c r="FV3" s="126"/>
      <c r="FW3" s="126"/>
      <c r="FX3" s="126"/>
      <c r="FY3" s="126"/>
      <c r="FZ3" s="126"/>
      <c r="GA3" s="126"/>
      <c r="GB3" s="126"/>
      <c r="GC3" s="126"/>
      <c r="GD3" s="126"/>
    </row>
    <row r="4" spans="1:187" s="118" customFormat="1" ht="13.5" customHeight="1" x14ac:dyDescent="0.2">
      <c r="B4" s="188" t="s">
        <v>63</v>
      </c>
      <c r="C4" s="189"/>
      <c r="D4" s="189" t="s">
        <v>22</v>
      </c>
      <c r="E4" s="187" t="s">
        <v>23</v>
      </c>
      <c r="F4" s="187" t="s">
        <v>64</v>
      </c>
      <c r="G4" s="187" t="s">
        <v>65</v>
      </c>
      <c r="H4" s="187" t="s">
        <v>25</v>
      </c>
      <c r="I4" s="187" t="s">
        <v>66</v>
      </c>
      <c r="J4" s="187" t="s">
        <v>67</v>
      </c>
      <c r="K4" s="187" t="s">
        <v>68</v>
      </c>
      <c r="L4" s="187" t="s">
        <v>27</v>
      </c>
      <c r="M4" s="128"/>
      <c r="N4" s="187" t="s">
        <v>64</v>
      </c>
      <c r="O4" s="187" t="s">
        <v>65</v>
      </c>
      <c r="P4" s="187" t="s">
        <v>69</v>
      </c>
      <c r="Q4" s="187" t="s">
        <v>66</v>
      </c>
      <c r="R4" s="124"/>
      <c r="S4" s="180" t="s">
        <v>110</v>
      </c>
      <c r="T4" s="311"/>
      <c r="U4" s="169" t="s">
        <v>68</v>
      </c>
      <c r="V4" s="237" t="s">
        <v>27</v>
      </c>
      <c r="W4" s="180" t="s">
        <v>110</v>
      </c>
      <c r="X4" s="122"/>
      <c r="Y4" s="187" t="s">
        <v>64</v>
      </c>
      <c r="Z4" s="187" t="s">
        <v>65</v>
      </c>
      <c r="AA4" s="187" t="s">
        <v>69</v>
      </c>
      <c r="AB4" s="187" t="s">
        <v>66</v>
      </c>
      <c r="AC4" s="262"/>
      <c r="AD4" s="187" t="s">
        <v>64</v>
      </c>
      <c r="AE4" s="187" t="s">
        <v>65</v>
      </c>
      <c r="AF4" s="187" t="s">
        <v>69</v>
      </c>
      <c r="AG4" s="187" t="s">
        <v>66</v>
      </c>
      <c r="AH4" s="262"/>
      <c r="AI4" s="187" t="s">
        <v>64</v>
      </c>
      <c r="AJ4" s="187" t="s">
        <v>65</v>
      </c>
      <c r="AK4" s="187" t="s">
        <v>69</v>
      </c>
      <c r="AL4" s="187" t="s">
        <v>66</v>
      </c>
      <c r="AM4" s="262"/>
      <c r="AN4" s="187" t="s">
        <v>64</v>
      </c>
      <c r="AO4" s="187" t="s">
        <v>65</v>
      </c>
      <c r="AP4" s="187" t="s">
        <v>69</v>
      </c>
      <c r="AQ4" s="187" t="s">
        <v>66</v>
      </c>
      <c r="AR4" s="262"/>
      <c r="AS4" s="187" t="s">
        <v>64</v>
      </c>
      <c r="AT4" s="187" t="s">
        <v>65</v>
      </c>
      <c r="AU4" s="187" t="s">
        <v>69</v>
      </c>
      <c r="AV4" s="187" t="s">
        <v>66</v>
      </c>
      <c r="AW4" s="262"/>
      <c r="AX4" s="187" t="s">
        <v>64</v>
      </c>
      <c r="AY4" s="187" t="s">
        <v>65</v>
      </c>
      <c r="AZ4" s="187" t="s">
        <v>69</v>
      </c>
      <c r="BA4" s="187" t="s">
        <v>66</v>
      </c>
      <c r="BB4" s="262"/>
      <c r="BC4" s="187" t="s">
        <v>64</v>
      </c>
      <c r="BD4" s="187" t="s">
        <v>65</v>
      </c>
      <c r="BE4" s="187" t="s">
        <v>69</v>
      </c>
      <c r="BF4" s="187" t="s">
        <v>66</v>
      </c>
      <c r="BG4" s="262"/>
      <c r="BH4" s="187" t="s">
        <v>64</v>
      </c>
      <c r="BI4" s="187" t="s">
        <v>65</v>
      </c>
      <c r="BJ4" s="187" t="s">
        <v>69</v>
      </c>
      <c r="BK4" s="187" t="s">
        <v>66</v>
      </c>
      <c r="BL4" s="262"/>
      <c r="BM4" s="187" t="s">
        <v>64</v>
      </c>
      <c r="BN4" s="187" t="s">
        <v>65</v>
      </c>
      <c r="BO4" s="187" t="s">
        <v>69</v>
      </c>
      <c r="BP4" s="187" t="s">
        <v>66</v>
      </c>
      <c r="BQ4" s="262"/>
      <c r="BR4" s="187" t="s">
        <v>64</v>
      </c>
      <c r="BS4" s="187" t="s">
        <v>65</v>
      </c>
      <c r="BT4" s="187" t="s">
        <v>69</v>
      </c>
      <c r="BU4" s="187" t="s">
        <v>66</v>
      </c>
      <c r="BV4" s="262"/>
      <c r="BW4" s="187" t="s">
        <v>64</v>
      </c>
      <c r="BX4" s="187" t="s">
        <v>65</v>
      </c>
      <c r="BY4" s="187" t="s">
        <v>69</v>
      </c>
      <c r="BZ4" s="187" t="s">
        <v>66</v>
      </c>
      <c r="CA4" s="262"/>
      <c r="CB4" s="187" t="s">
        <v>64</v>
      </c>
      <c r="CC4" s="187" t="s">
        <v>65</v>
      </c>
      <c r="CD4" s="187" t="s">
        <v>69</v>
      </c>
      <c r="CE4" s="187" t="s">
        <v>66</v>
      </c>
      <c r="CF4" s="262"/>
      <c r="CG4" s="187" t="s">
        <v>64</v>
      </c>
      <c r="CH4" s="187" t="s">
        <v>65</v>
      </c>
      <c r="CI4" s="187" t="s">
        <v>69</v>
      </c>
      <c r="CJ4" s="187" t="s">
        <v>66</v>
      </c>
      <c r="CK4" s="262"/>
      <c r="CL4" s="187" t="s">
        <v>64</v>
      </c>
      <c r="CM4" s="187" t="s">
        <v>65</v>
      </c>
      <c r="CN4" s="187" t="s">
        <v>69</v>
      </c>
      <c r="CO4" s="187" t="s">
        <v>66</v>
      </c>
      <c r="CP4" s="262"/>
      <c r="CQ4" s="187" t="s">
        <v>64</v>
      </c>
      <c r="CR4" s="187" t="s">
        <v>65</v>
      </c>
      <c r="CS4" s="187" t="s">
        <v>69</v>
      </c>
      <c r="CT4" s="187" t="s">
        <v>66</v>
      </c>
      <c r="CU4" s="262"/>
      <c r="CV4" s="187" t="s">
        <v>64</v>
      </c>
      <c r="CW4" s="187" t="s">
        <v>65</v>
      </c>
      <c r="CX4" s="187" t="s">
        <v>69</v>
      </c>
      <c r="CY4" s="187" t="s">
        <v>66</v>
      </c>
      <c r="CZ4" s="262"/>
      <c r="DA4" s="187" t="s">
        <v>64</v>
      </c>
      <c r="DB4" s="187" t="s">
        <v>65</v>
      </c>
      <c r="DC4" s="187" t="s">
        <v>69</v>
      </c>
      <c r="DD4" s="187" t="s">
        <v>66</v>
      </c>
      <c r="DE4" s="262"/>
      <c r="DF4" s="187" t="s">
        <v>64</v>
      </c>
      <c r="DG4" s="187" t="s">
        <v>65</v>
      </c>
      <c r="DH4" s="187" t="s">
        <v>69</v>
      </c>
      <c r="DI4" s="187" t="s">
        <v>66</v>
      </c>
      <c r="DJ4" s="262"/>
      <c r="DK4" s="187" t="s">
        <v>64</v>
      </c>
      <c r="DL4" s="187" t="s">
        <v>65</v>
      </c>
      <c r="DM4" s="187" t="s">
        <v>69</v>
      </c>
      <c r="DN4" s="187" t="s">
        <v>66</v>
      </c>
      <c r="DO4" s="262"/>
      <c r="DP4" s="187" t="s">
        <v>64</v>
      </c>
      <c r="DQ4" s="187" t="s">
        <v>65</v>
      </c>
      <c r="DR4" s="187" t="s">
        <v>69</v>
      </c>
      <c r="DS4" s="187" t="s">
        <v>66</v>
      </c>
      <c r="DT4" s="262"/>
      <c r="DU4" s="312"/>
      <c r="DV4" s="312"/>
      <c r="DW4" s="312"/>
      <c r="DX4" s="312"/>
      <c r="DY4" s="124"/>
      <c r="DZ4" s="312"/>
      <c r="EA4" s="312"/>
      <c r="EB4" s="312"/>
      <c r="EC4" s="312"/>
      <c r="ED4" s="313"/>
      <c r="EE4" s="314"/>
      <c r="EF4" s="314"/>
      <c r="EG4" s="314"/>
      <c r="EH4" s="314"/>
      <c r="EI4" s="313"/>
      <c r="EJ4" s="314"/>
      <c r="EK4" s="314"/>
      <c r="EL4" s="314"/>
      <c r="EM4" s="314"/>
      <c r="EN4" s="313"/>
      <c r="EO4" s="314"/>
      <c r="EP4" s="314"/>
      <c r="EQ4" s="314"/>
      <c r="ER4" s="314"/>
      <c r="ES4" s="313"/>
      <c r="ET4" s="314"/>
      <c r="EU4" s="314"/>
      <c r="EV4" s="314"/>
      <c r="EW4" s="314"/>
      <c r="FB4" s="256" t="s">
        <v>22</v>
      </c>
      <c r="FC4" s="256" t="s">
        <v>64</v>
      </c>
      <c r="FD4" s="256" t="s">
        <v>65</v>
      </c>
      <c r="FE4" s="256" t="s">
        <v>69</v>
      </c>
      <c r="FF4" s="256" t="s">
        <v>66</v>
      </c>
      <c r="FG4" s="256" t="s">
        <v>67</v>
      </c>
      <c r="FH4" s="256" t="s">
        <v>68</v>
      </c>
      <c r="FI4" s="256" t="s">
        <v>27</v>
      </c>
      <c r="FJ4" s="118" t="s">
        <v>19</v>
      </c>
      <c r="FK4" s="256" t="s">
        <v>30</v>
      </c>
      <c r="FL4" s="118" t="s">
        <v>19</v>
      </c>
      <c r="FM4" s="310"/>
      <c r="FN4" s="310"/>
      <c r="FO4" s="310"/>
      <c r="FP4" s="310"/>
      <c r="FQ4" s="310"/>
      <c r="FR4" s="310"/>
      <c r="FS4" s="310"/>
      <c r="FT4" s="310"/>
      <c r="FU4" s="126"/>
      <c r="FV4" s="126"/>
      <c r="FW4" s="126"/>
      <c r="FX4" s="126"/>
      <c r="FY4" s="126"/>
      <c r="FZ4" s="126"/>
      <c r="GA4" s="126"/>
      <c r="GB4" s="126"/>
      <c r="GC4" s="126"/>
      <c r="GD4" s="126"/>
    </row>
    <row r="5" spans="1:187" s="118" customFormat="1" ht="13.5" customHeight="1" x14ac:dyDescent="0.2">
      <c r="B5" s="158" t="s">
        <v>42</v>
      </c>
      <c r="C5" s="159" t="s">
        <v>189</v>
      </c>
      <c r="D5" s="170">
        <f>IF(ISNA(VLOOKUP($B5,Batting!$B$6:$D$41,3,FALSE)),0,(VLOOKUP($B5,Batting!$B$6:$D$41,3,FALSE)))</f>
        <v>14</v>
      </c>
      <c r="E5" s="171">
        <f>IF(COUNT(Y5,AD5,AI5,AN5,AS5,AX5,BC5,BH5,BM5,BR5,BW5,CB5,CG5,CL5,CQ5,CV5,DA5,DF5,DK5,DP5)=0,"-",COUNT(Y5,AD5,AI5,AN5,AS5,AX5,BC5,BH5,BM5,BR5,BW5,CB5,CG5,CL5,CQ5,CV5,DA5,DF5,DK5,DP5))</f>
        <v>10</v>
      </c>
      <c r="F5" s="175">
        <f t="shared" ref="F5:I9" si="0">SUM(Y5,AD5,AI5,AN5,AX5,AS5,BC5,BH5,BM5,BR5,BW5,CB5,CG5,CL5,CQ5,CV5,DA5,DF5,DK5,DP5,DU5,DZ5,EE5,EJ5,EO5,ET5)</f>
        <v>64.8</v>
      </c>
      <c r="G5" s="176">
        <f t="shared" si="0"/>
        <v>13</v>
      </c>
      <c r="H5" s="176">
        <f t="shared" si="0"/>
        <v>259</v>
      </c>
      <c r="I5" s="176">
        <f t="shared" si="0"/>
        <v>14</v>
      </c>
      <c r="J5" s="175">
        <f>IF(I5=0,"-",F5/I5)</f>
        <v>4.6285714285714281</v>
      </c>
      <c r="K5" s="175">
        <f>IF(F5=0,"-",H5/F5)</f>
        <v>3.9969135802469138</v>
      </c>
      <c r="L5" s="344">
        <f>IF(I5=0,"-",H5/I5)</f>
        <v>18.5</v>
      </c>
      <c r="M5" s="134"/>
      <c r="N5" s="296"/>
      <c r="O5" s="171"/>
      <c r="P5" s="171"/>
      <c r="Q5" s="171"/>
      <c r="R5" s="124"/>
      <c r="S5" s="163">
        <f>(I5*20)-(H5/5)</f>
        <v>228.2</v>
      </c>
      <c r="T5" s="134"/>
      <c r="U5" s="294">
        <f>IF(FC5="-",H5/F5,(FE5+H5)/(FC5+F5))</f>
        <v>4.1354186904993195</v>
      </c>
      <c r="V5" s="294">
        <f>IF(FC5="-",IF(I5=0,H5,H5/I5),IF(FF5+I5=0,FE5+H5,(FE5+H5)/(FF5+I5)))</f>
        <v>19.438356164383563</v>
      </c>
      <c r="W5" s="177">
        <f>IF(FC5="-",IF(F5&lt;30,FK5,((IF(V5&gt;30,1,IF(V5&gt;25,2,IF(V5&gt;20,3,IF(V5&gt;15,4,IF(V5&gt;=0,5,0))))))+(IF(U5&gt;6,1,IF(U5&gt;5.5,2,IF(U5&gt;5,3,IF(U5&gt;4.5,4,IF(U5&gt;=0,5,0)))))))/2),IF(FC5+F5&lt;30,FK5,((IF(V5&gt;30,1,IF(V5&gt;25,2,IF(V5&gt;20,3,IF(V5&gt;15,4,IF(V5&gt;=0,5,0))))))+(IF(U5&gt;6,1,IF(U5&gt;5.5,2,IF(U5&gt;5,3,IF(U5&gt;4.5,4,IF(U5&gt;=0,5,0)))))))/2))</f>
        <v>4.5</v>
      </c>
      <c r="X5" s="122"/>
      <c r="Y5" s="296"/>
      <c r="Z5" s="171"/>
      <c r="AA5" s="171"/>
      <c r="AB5" s="171"/>
      <c r="AC5" s="319"/>
      <c r="AD5" s="296"/>
      <c r="AE5" s="171"/>
      <c r="AF5" s="171"/>
      <c r="AG5" s="171"/>
      <c r="AH5" s="319"/>
      <c r="AI5" s="296">
        <v>7.5</v>
      </c>
      <c r="AJ5" s="171">
        <v>0</v>
      </c>
      <c r="AK5" s="171">
        <v>49</v>
      </c>
      <c r="AL5" s="171">
        <v>1</v>
      </c>
      <c r="AM5" s="319"/>
      <c r="AN5" s="296">
        <v>8</v>
      </c>
      <c r="AO5" s="171">
        <v>0</v>
      </c>
      <c r="AP5" s="171">
        <v>55</v>
      </c>
      <c r="AQ5" s="171">
        <v>2</v>
      </c>
      <c r="AR5" s="319"/>
      <c r="AS5" s="296"/>
      <c r="AT5" s="171"/>
      <c r="AU5" s="171"/>
      <c r="AV5" s="171"/>
      <c r="AW5" s="319"/>
      <c r="AX5" s="296"/>
      <c r="AY5" s="171"/>
      <c r="AZ5" s="171"/>
      <c r="BA5" s="171"/>
      <c r="BB5" s="319"/>
      <c r="BC5" s="296">
        <v>5</v>
      </c>
      <c r="BD5" s="171">
        <v>3</v>
      </c>
      <c r="BE5" s="171">
        <v>4</v>
      </c>
      <c r="BF5" s="171">
        <v>1</v>
      </c>
      <c r="BG5" s="319"/>
      <c r="BH5" s="296">
        <v>7</v>
      </c>
      <c r="BI5" s="171">
        <v>0</v>
      </c>
      <c r="BJ5" s="171">
        <v>39</v>
      </c>
      <c r="BK5" s="171">
        <v>1</v>
      </c>
      <c r="BL5" s="319"/>
      <c r="BM5" s="296">
        <v>8</v>
      </c>
      <c r="BN5" s="171">
        <v>3</v>
      </c>
      <c r="BO5" s="171">
        <v>17</v>
      </c>
      <c r="BP5" s="171">
        <v>2</v>
      </c>
      <c r="BQ5" s="319"/>
      <c r="BR5" s="296">
        <v>6</v>
      </c>
      <c r="BS5" s="171">
        <v>1</v>
      </c>
      <c r="BT5" s="171">
        <v>24</v>
      </c>
      <c r="BU5" s="171">
        <v>3</v>
      </c>
      <c r="BV5" s="319"/>
      <c r="BW5" s="296"/>
      <c r="BX5" s="171"/>
      <c r="BY5" s="171"/>
      <c r="BZ5" s="171"/>
      <c r="CA5" s="319"/>
      <c r="CB5" s="296">
        <v>5</v>
      </c>
      <c r="CC5" s="171">
        <v>3</v>
      </c>
      <c r="CD5" s="171">
        <v>3</v>
      </c>
      <c r="CE5" s="171">
        <v>0</v>
      </c>
      <c r="CF5" s="319"/>
      <c r="CG5" s="296"/>
      <c r="CH5" s="171"/>
      <c r="CI5" s="171"/>
      <c r="CJ5" s="171"/>
      <c r="CK5" s="319"/>
      <c r="CL5" s="296"/>
      <c r="CM5" s="171"/>
      <c r="CN5" s="171"/>
      <c r="CO5" s="171"/>
      <c r="CP5" s="319"/>
      <c r="CQ5" s="296"/>
      <c r="CR5" s="171"/>
      <c r="CS5" s="171"/>
      <c r="CT5" s="171"/>
      <c r="CU5" s="319"/>
      <c r="CV5" s="296"/>
      <c r="CW5" s="171"/>
      <c r="CX5" s="171"/>
      <c r="CY5" s="171"/>
      <c r="CZ5" s="319"/>
      <c r="DA5" s="296">
        <v>6</v>
      </c>
      <c r="DB5" s="171">
        <v>2</v>
      </c>
      <c r="DC5" s="171">
        <v>11</v>
      </c>
      <c r="DD5" s="171">
        <v>2</v>
      </c>
      <c r="DE5" s="319"/>
      <c r="DF5" s="294">
        <v>7.3</v>
      </c>
      <c r="DG5" s="171">
        <v>1</v>
      </c>
      <c r="DH5" s="171">
        <v>37</v>
      </c>
      <c r="DI5" s="171">
        <v>2</v>
      </c>
      <c r="DJ5" s="319"/>
      <c r="DK5" s="296">
        <v>5</v>
      </c>
      <c r="DL5" s="171">
        <v>0</v>
      </c>
      <c r="DM5" s="171">
        <v>20</v>
      </c>
      <c r="DN5" s="171">
        <v>0</v>
      </c>
      <c r="DO5" s="319"/>
      <c r="DP5" s="296"/>
      <c r="DQ5" s="171"/>
      <c r="DR5" s="171"/>
      <c r="DS5" s="171"/>
      <c r="DT5" s="319"/>
      <c r="DU5" s="320"/>
      <c r="DV5" s="154"/>
      <c r="DW5" s="154"/>
      <c r="DX5" s="154"/>
      <c r="DY5" s="319"/>
      <c r="DZ5" s="320"/>
      <c r="EA5" s="154"/>
      <c r="EB5" s="154"/>
      <c r="EC5" s="154"/>
      <c r="ED5" s="313"/>
      <c r="EE5" s="307"/>
      <c r="EF5" s="307"/>
      <c r="EG5" s="307"/>
      <c r="EH5" s="307"/>
      <c r="EI5" s="313"/>
      <c r="EJ5" s="307"/>
      <c r="EK5" s="307"/>
      <c r="EL5" s="307"/>
      <c r="EM5" s="307"/>
      <c r="EN5" s="313"/>
      <c r="EO5" s="307"/>
      <c r="EP5" s="307"/>
      <c r="EQ5" s="307"/>
      <c r="ER5" s="307"/>
      <c r="ES5" s="313"/>
      <c r="ET5" s="307"/>
      <c r="EU5" s="307"/>
      <c r="EV5" s="307"/>
      <c r="EW5" s="307"/>
      <c r="FB5" s="132">
        <v>47</v>
      </c>
      <c r="FC5" s="261">
        <v>278.33333333333337</v>
      </c>
      <c r="FD5" s="132">
        <v>42</v>
      </c>
      <c r="FE5" s="132">
        <v>1160</v>
      </c>
      <c r="FF5" s="132">
        <v>59</v>
      </c>
      <c r="FG5" s="315">
        <f>IF(FF5=0,"-",FC5/FF5)</f>
        <v>4.7175141242937864</v>
      </c>
      <c r="FH5" s="315">
        <f>IF(FC5=0,"-",FE5/FC5)</f>
        <v>4.1676646706586817</v>
      </c>
      <c r="FI5" s="317">
        <f>IF(FF5=0,"-",FE5/FF5)</f>
        <v>19.661016949152543</v>
      </c>
      <c r="FK5" s="135"/>
      <c r="FL5" s="310"/>
      <c r="FM5" s="310"/>
      <c r="FN5" s="310"/>
      <c r="FO5" s="310"/>
      <c r="FP5" s="310"/>
      <c r="FQ5" s="310"/>
      <c r="FR5" s="310"/>
      <c r="FS5" s="310"/>
      <c r="FT5" s="310"/>
      <c r="FU5" s="126"/>
      <c r="FV5" s="126"/>
      <c r="FW5" s="126"/>
      <c r="FX5" s="126"/>
      <c r="FY5" s="126"/>
      <c r="FZ5" s="126"/>
      <c r="GA5" s="126"/>
      <c r="GB5" s="126"/>
      <c r="GC5" s="126"/>
      <c r="GD5" s="126"/>
    </row>
    <row r="6" spans="1:187" s="118" customFormat="1" ht="13.5" customHeight="1" x14ac:dyDescent="0.2">
      <c r="B6" s="158" t="s">
        <v>206</v>
      </c>
      <c r="C6" s="159" t="s">
        <v>188</v>
      </c>
      <c r="D6" s="170">
        <f>IF(ISNA(VLOOKUP($B6,Batting!$B$6:$D$41,3,FALSE)),0,(VLOOKUP($B6,Batting!$B$6:$D$41,3,FALSE)))</f>
        <v>8</v>
      </c>
      <c r="E6" s="171">
        <f>IF(COUNT(Y6,AD6,AI6,AN6,AS6,AX6,BC6,BH6,BM6,BR6,BW6,CB6,CG6,CL6,CQ6,CV6,DA6,DF6,DK6,DP6)=0,"-",COUNT(Y6,AD6,AI6,AN6,AS6,AX6,BC6,BH6,BM6,BR6,BW6,CB6,CG6,CL6,CQ6,CV6,DA6,DF6,DK6,DP6))</f>
        <v>8</v>
      </c>
      <c r="F6" s="175">
        <f t="shared" si="0"/>
        <v>40</v>
      </c>
      <c r="G6" s="176">
        <f t="shared" si="0"/>
        <v>1</v>
      </c>
      <c r="H6" s="176">
        <f t="shared" si="0"/>
        <v>250</v>
      </c>
      <c r="I6" s="176">
        <f t="shared" si="0"/>
        <v>11</v>
      </c>
      <c r="J6" s="175">
        <f>IF(I6=0,"-",F6/I6)</f>
        <v>3.6363636363636362</v>
      </c>
      <c r="K6" s="175">
        <f>IF(F6=0,"-",H6/F6)</f>
        <v>6.25</v>
      </c>
      <c r="L6" s="344">
        <f>IF(I6=0,"-",H6/I6)</f>
        <v>22.727272727272727</v>
      </c>
      <c r="M6" s="134"/>
      <c r="N6" s="294"/>
      <c r="O6" s="171"/>
      <c r="P6" s="171"/>
      <c r="Q6" s="176"/>
      <c r="R6" s="124"/>
      <c r="S6" s="163">
        <f>(I6*20)-(H6/5)</f>
        <v>170</v>
      </c>
      <c r="T6" s="134"/>
      <c r="U6" s="294">
        <f>IF(FC6="-",H6/F6,(FE6+H6)/(FC6+F6))</f>
        <v>6.25</v>
      </c>
      <c r="V6" s="294">
        <f>IF(FC6="-",IF(I6=0,H6,H6/I6),IF(FF6+I6=0,FE6+H6,(FE6+H6)/(FF6+I6)))</f>
        <v>22.727272727272727</v>
      </c>
      <c r="W6" s="177">
        <f>IF(FC6="-",IF(F6&lt;30,FK6,((IF(V6&gt;30,1,IF(V6&gt;25,2,IF(V6&gt;20,3,IF(V6&gt;15,4,IF(V6&gt;=0,5,0))))))+(IF(U6&gt;6,1,IF(U6&gt;5.5,2,IF(U6&gt;5,3,IF(U6&gt;4.5,4,IF(U6&gt;=0,5,0)))))))/2),IF(FC6+F6&lt;30,FK6,((IF(V6&gt;30,1,IF(V6&gt;25,2,IF(V6&gt;20,3,IF(V6&gt;15,4,IF(V6&gt;=0,5,0))))))+(IF(U6&gt;6,1,IF(U6&gt;5.5,2,IF(U6&gt;5,3,IF(U6&gt;4.5,4,IF(U6&gt;=0,5,0)))))))/2))</f>
        <v>2</v>
      </c>
      <c r="X6" s="122"/>
      <c r="Y6" s="296"/>
      <c r="Z6" s="171"/>
      <c r="AA6" s="171"/>
      <c r="AB6" s="171"/>
      <c r="AC6" s="319"/>
      <c r="AD6" s="296"/>
      <c r="AE6" s="171"/>
      <c r="AF6" s="171"/>
      <c r="AG6" s="171"/>
      <c r="AH6" s="319"/>
      <c r="AI6" s="296">
        <v>4</v>
      </c>
      <c r="AJ6" s="171">
        <v>0</v>
      </c>
      <c r="AK6" s="171">
        <v>16</v>
      </c>
      <c r="AL6" s="171">
        <v>0</v>
      </c>
      <c r="AM6" s="319"/>
      <c r="AN6" s="296"/>
      <c r="AO6" s="171"/>
      <c r="AP6" s="171"/>
      <c r="AQ6" s="171"/>
      <c r="AR6" s="319"/>
      <c r="AS6" s="296">
        <v>6</v>
      </c>
      <c r="AT6" s="171">
        <v>0</v>
      </c>
      <c r="AU6" s="171">
        <v>40</v>
      </c>
      <c r="AV6" s="171">
        <v>0</v>
      </c>
      <c r="AW6" s="319"/>
      <c r="AX6" s="296"/>
      <c r="AY6" s="171"/>
      <c r="AZ6" s="171"/>
      <c r="BA6" s="171"/>
      <c r="BB6" s="319"/>
      <c r="BC6" s="296">
        <v>6</v>
      </c>
      <c r="BD6" s="171">
        <v>1</v>
      </c>
      <c r="BE6" s="171">
        <v>13</v>
      </c>
      <c r="BF6" s="171">
        <v>2</v>
      </c>
      <c r="BG6" s="319"/>
      <c r="BH6" s="296"/>
      <c r="BI6" s="171"/>
      <c r="BJ6" s="171"/>
      <c r="BK6" s="171"/>
      <c r="BL6" s="319"/>
      <c r="BM6" s="296">
        <v>6</v>
      </c>
      <c r="BN6" s="171">
        <v>0</v>
      </c>
      <c r="BO6" s="171">
        <v>60</v>
      </c>
      <c r="BP6" s="171">
        <v>2</v>
      </c>
      <c r="BQ6" s="319"/>
      <c r="BR6" s="296"/>
      <c r="BS6" s="171"/>
      <c r="BT6" s="171"/>
      <c r="BU6" s="171"/>
      <c r="BV6" s="319"/>
      <c r="BW6" s="296"/>
      <c r="BX6" s="171"/>
      <c r="BY6" s="171"/>
      <c r="BZ6" s="171"/>
      <c r="CA6" s="319"/>
      <c r="CB6" s="296">
        <v>6</v>
      </c>
      <c r="CC6" s="171">
        <v>0</v>
      </c>
      <c r="CD6" s="171">
        <v>47</v>
      </c>
      <c r="CE6" s="171">
        <v>2</v>
      </c>
      <c r="CF6" s="319"/>
      <c r="CG6" s="296"/>
      <c r="CH6" s="171"/>
      <c r="CI6" s="171"/>
      <c r="CJ6" s="171"/>
      <c r="CK6" s="319"/>
      <c r="CL6" s="296">
        <v>5</v>
      </c>
      <c r="CM6" s="171">
        <v>0</v>
      </c>
      <c r="CN6" s="171">
        <v>19</v>
      </c>
      <c r="CO6" s="171">
        <v>3</v>
      </c>
      <c r="CP6" s="319"/>
      <c r="CQ6" s="296"/>
      <c r="CR6" s="171"/>
      <c r="CS6" s="171"/>
      <c r="CT6" s="171"/>
      <c r="CU6" s="319"/>
      <c r="CV6" s="296">
        <v>3</v>
      </c>
      <c r="CW6" s="171">
        <v>0</v>
      </c>
      <c r="CX6" s="171">
        <v>26</v>
      </c>
      <c r="CY6" s="171">
        <v>0</v>
      </c>
      <c r="CZ6" s="319"/>
      <c r="DA6" s="296">
        <v>4</v>
      </c>
      <c r="DB6" s="171">
        <v>0</v>
      </c>
      <c r="DC6" s="171">
        <v>29</v>
      </c>
      <c r="DD6" s="171">
        <v>2</v>
      </c>
      <c r="DE6" s="319"/>
      <c r="DF6" s="296"/>
      <c r="DG6" s="171"/>
      <c r="DH6" s="171"/>
      <c r="DI6" s="171"/>
      <c r="DJ6" s="319"/>
      <c r="DK6" s="296"/>
      <c r="DL6" s="171"/>
      <c r="DM6" s="171"/>
      <c r="DN6" s="171"/>
      <c r="DO6" s="319"/>
      <c r="DP6" s="296"/>
      <c r="DQ6" s="171"/>
      <c r="DR6" s="171"/>
      <c r="DS6" s="171"/>
      <c r="DT6" s="319"/>
      <c r="DU6" s="320"/>
      <c r="DV6" s="154"/>
      <c r="DW6" s="154"/>
      <c r="DX6" s="154"/>
      <c r="DY6" s="319"/>
      <c r="DZ6" s="320"/>
      <c r="EA6" s="154"/>
      <c r="EB6" s="154"/>
      <c r="EC6" s="154"/>
      <c r="ED6" s="313"/>
      <c r="EE6" s="307"/>
      <c r="EF6" s="307"/>
      <c r="EG6" s="307"/>
      <c r="EH6" s="307"/>
      <c r="EI6" s="313"/>
      <c r="EJ6" s="307"/>
      <c r="EK6" s="307"/>
      <c r="EL6" s="307"/>
      <c r="EM6" s="307"/>
      <c r="EN6" s="313"/>
      <c r="EO6" s="307"/>
      <c r="EP6" s="307"/>
      <c r="EQ6" s="307"/>
      <c r="ER6" s="307"/>
      <c r="ES6" s="313"/>
      <c r="ET6" s="307"/>
      <c r="EU6" s="307"/>
      <c r="EV6" s="307"/>
      <c r="EW6" s="307"/>
      <c r="FB6" s="132"/>
      <c r="FC6" s="261"/>
      <c r="FD6" s="132"/>
      <c r="FE6" s="132"/>
      <c r="FF6" s="132"/>
      <c r="FG6" s="315"/>
      <c r="FH6" s="315"/>
      <c r="FI6" s="317"/>
      <c r="FJ6" s="119"/>
      <c r="FK6" s="271"/>
      <c r="FL6" s="310"/>
      <c r="FM6" s="310"/>
      <c r="FN6" s="310"/>
      <c r="FO6" s="310"/>
      <c r="FP6" s="310"/>
      <c r="FQ6" s="310"/>
      <c r="FR6" s="310"/>
      <c r="FS6" s="310"/>
      <c r="FT6" s="310"/>
      <c r="FU6" s="126"/>
      <c r="FV6" s="126"/>
      <c r="FW6" s="126"/>
      <c r="FX6" s="126"/>
      <c r="FY6" s="126"/>
      <c r="FZ6" s="126"/>
      <c r="GA6" s="126"/>
      <c r="GB6" s="126"/>
      <c r="GC6" s="126"/>
      <c r="GD6" s="126"/>
    </row>
    <row r="7" spans="1:187" s="118" customFormat="1" ht="13.5" customHeight="1" x14ac:dyDescent="0.2">
      <c r="B7" s="158" t="s">
        <v>216</v>
      </c>
      <c r="C7" s="159" t="s">
        <v>189</v>
      </c>
      <c r="D7" s="170">
        <f>IF(ISNA(VLOOKUP($B7,Batting!$B$6:$D$41,3,FALSE)),0,(VLOOKUP($B7,Batting!$B$6:$D$41,3,FALSE)))</f>
        <v>12</v>
      </c>
      <c r="E7" s="171">
        <f>IF(COUNT(Y7,AD7,AI7,AN7,AS7,AX7,BC7,BH7,BM7,BR7,BW7,CB7,CG7,CL7,CQ7,CV7,DA7,DF7,DK7,DP7)=0,"-",COUNT(Y7,AD7,AI7,AN7,AS7,AX7,BC7,BH7,BM7,BR7,BW7,CB7,CG7,CL7,CQ7,CV7,DA7,DF7,DK7,DP7))</f>
        <v>12</v>
      </c>
      <c r="F7" s="175">
        <f t="shared" si="0"/>
        <v>64.3</v>
      </c>
      <c r="G7" s="176">
        <f t="shared" si="0"/>
        <v>3</v>
      </c>
      <c r="H7" s="176">
        <f t="shared" si="0"/>
        <v>399</v>
      </c>
      <c r="I7" s="176">
        <f t="shared" si="0"/>
        <v>18</v>
      </c>
      <c r="J7" s="175">
        <f>IF(I7=0,"-",F7/I7)</f>
        <v>3.572222222222222</v>
      </c>
      <c r="K7" s="175">
        <f>IF(F7=0,"-",H7/F7)</f>
        <v>6.2052877138413685</v>
      </c>
      <c r="L7" s="344">
        <f>IF(I7=0,"-",H7/I7)</f>
        <v>22.166666666666668</v>
      </c>
      <c r="M7" s="134"/>
      <c r="N7" s="296"/>
      <c r="O7" s="171"/>
      <c r="P7" s="171"/>
      <c r="Q7" s="171"/>
      <c r="R7" s="124"/>
      <c r="S7" s="163">
        <f>(I7*20)-(H7/5)</f>
        <v>280.2</v>
      </c>
      <c r="T7" s="134"/>
      <c r="U7" s="294">
        <f>IF(FC7="-",H7/F7,(FE7+H7)/(FC7+F7))</f>
        <v>6.2052877138413685</v>
      </c>
      <c r="V7" s="294">
        <f>IF(FC7="-",IF(I7=0,H7,H7/I7),IF(FF7+I7=0,FE7+H7,(FE7+H7)/(FF7+I7)))</f>
        <v>22.166666666666668</v>
      </c>
      <c r="W7" s="177">
        <f>IF(FC7="-",IF(F7&lt;30,FK7,((IF(V7&gt;30,1,IF(V7&gt;25,2,IF(V7&gt;20,3,IF(V7&gt;15,4,IF(V7&gt;=0,5,0))))))+(IF(U7&gt;6,1,IF(U7&gt;5.5,2,IF(U7&gt;5,3,IF(U7&gt;4.5,4,IF(U7&gt;=0,5,0)))))))/2),IF(FC7+F7&lt;30,FK7,((IF(V7&gt;30,1,IF(V7&gt;25,2,IF(V7&gt;20,3,IF(V7&gt;15,4,IF(V7&gt;=0,5,0))))))+(IF(U7&gt;6,1,IF(U7&gt;5.5,2,IF(U7&gt;5,3,IF(U7&gt;4.5,4,IF(U7&gt;=0,5,0)))))))/2))</f>
        <v>2</v>
      </c>
      <c r="X7" s="122"/>
      <c r="Y7" s="296"/>
      <c r="Z7" s="171"/>
      <c r="AA7" s="171"/>
      <c r="AB7" s="171"/>
      <c r="AC7" s="319"/>
      <c r="AD7" s="296"/>
      <c r="AE7" s="171"/>
      <c r="AF7" s="171"/>
      <c r="AG7" s="171"/>
      <c r="AH7" s="319"/>
      <c r="AI7" s="296">
        <v>4</v>
      </c>
      <c r="AJ7" s="171">
        <v>0</v>
      </c>
      <c r="AK7" s="171">
        <v>22</v>
      </c>
      <c r="AL7" s="171">
        <v>0</v>
      </c>
      <c r="AM7" s="319"/>
      <c r="AN7" s="296">
        <v>5</v>
      </c>
      <c r="AO7" s="171">
        <v>0</v>
      </c>
      <c r="AP7" s="171">
        <v>28</v>
      </c>
      <c r="AQ7" s="171">
        <v>3</v>
      </c>
      <c r="AR7" s="319"/>
      <c r="AS7" s="296">
        <v>3</v>
      </c>
      <c r="AT7" s="171">
        <v>0</v>
      </c>
      <c r="AU7" s="171">
        <v>33</v>
      </c>
      <c r="AV7" s="171">
        <v>0</v>
      </c>
      <c r="AW7" s="319"/>
      <c r="AX7" s="296"/>
      <c r="AY7" s="171"/>
      <c r="AZ7" s="171"/>
      <c r="BA7" s="171"/>
      <c r="BB7" s="319"/>
      <c r="BC7" s="296"/>
      <c r="BD7" s="171"/>
      <c r="BE7" s="171"/>
      <c r="BF7" s="171"/>
      <c r="BG7" s="319"/>
      <c r="BH7" s="296">
        <v>5</v>
      </c>
      <c r="BI7" s="171">
        <v>0</v>
      </c>
      <c r="BJ7" s="171">
        <v>34</v>
      </c>
      <c r="BK7" s="171">
        <v>1</v>
      </c>
      <c r="BL7" s="319"/>
      <c r="BM7" s="296">
        <v>4.3</v>
      </c>
      <c r="BN7" s="171">
        <v>0</v>
      </c>
      <c r="BO7" s="171">
        <v>12</v>
      </c>
      <c r="BP7" s="171">
        <v>3</v>
      </c>
      <c r="BQ7" s="319"/>
      <c r="BR7" s="296">
        <v>6</v>
      </c>
      <c r="BS7" s="171">
        <v>1</v>
      </c>
      <c r="BT7" s="171">
        <v>44</v>
      </c>
      <c r="BU7" s="171">
        <v>1</v>
      </c>
      <c r="BV7" s="319"/>
      <c r="BW7" s="296">
        <v>7</v>
      </c>
      <c r="BX7" s="171">
        <v>0</v>
      </c>
      <c r="BY7" s="171">
        <v>49</v>
      </c>
      <c r="BZ7" s="171">
        <v>1</v>
      </c>
      <c r="CA7" s="319"/>
      <c r="CB7" s="296"/>
      <c r="CC7" s="171"/>
      <c r="CD7" s="171"/>
      <c r="CE7" s="171"/>
      <c r="CF7" s="319"/>
      <c r="CG7" s="296"/>
      <c r="CH7" s="171"/>
      <c r="CI7" s="171"/>
      <c r="CJ7" s="171"/>
      <c r="CK7" s="319"/>
      <c r="CL7" s="296">
        <v>5</v>
      </c>
      <c r="CM7" s="171">
        <v>0</v>
      </c>
      <c r="CN7" s="171">
        <v>35</v>
      </c>
      <c r="CO7" s="171">
        <v>1</v>
      </c>
      <c r="CP7" s="319"/>
      <c r="CQ7" s="296"/>
      <c r="CR7" s="171"/>
      <c r="CS7" s="171"/>
      <c r="CT7" s="171"/>
      <c r="CU7" s="319"/>
      <c r="CV7" s="296">
        <v>7</v>
      </c>
      <c r="CW7" s="171">
        <v>0</v>
      </c>
      <c r="CX7" s="171">
        <v>57</v>
      </c>
      <c r="CY7" s="171">
        <v>1</v>
      </c>
      <c r="CZ7" s="319"/>
      <c r="DA7" s="296">
        <v>4</v>
      </c>
      <c r="DB7" s="171">
        <v>1</v>
      </c>
      <c r="DC7" s="171">
        <v>10</v>
      </c>
      <c r="DD7" s="171">
        <v>2</v>
      </c>
      <c r="DE7" s="319"/>
      <c r="DF7" s="296">
        <v>6</v>
      </c>
      <c r="DG7" s="171">
        <v>0</v>
      </c>
      <c r="DH7" s="171">
        <v>26</v>
      </c>
      <c r="DI7" s="171">
        <v>2</v>
      </c>
      <c r="DJ7" s="319"/>
      <c r="DK7" s="296">
        <v>8</v>
      </c>
      <c r="DL7" s="171">
        <v>1</v>
      </c>
      <c r="DM7" s="171">
        <v>49</v>
      </c>
      <c r="DN7" s="171">
        <v>3</v>
      </c>
      <c r="DO7" s="319"/>
      <c r="DP7" s="296"/>
      <c r="DQ7" s="171"/>
      <c r="DR7" s="171"/>
      <c r="DS7" s="171"/>
      <c r="DT7" s="319"/>
      <c r="DU7" s="320"/>
      <c r="DV7" s="154"/>
      <c r="DW7" s="154"/>
      <c r="DX7" s="154"/>
      <c r="DY7" s="319"/>
      <c r="DZ7" s="320"/>
      <c r="EA7" s="154"/>
      <c r="EB7" s="154"/>
      <c r="EC7" s="154"/>
      <c r="ED7" s="313"/>
      <c r="EE7" s="307"/>
      <c r="EF7" s="307"/>
      <c r="EG7" s="307"/>
      <c r="EH7" s="307"/>
      <c r="EI7" s="313"/>
      <c r="EJ7" s="307"/>
      <c r="EK7" s="307"/>
      <c r="EL7" s="307"/>
      <c r="EM7" s="307"/>
      <c r="EN7" s="313"/>
      <c r="EO7" s="307"/>
      <c r="EP7" s="307"/>
      <c r="EQ7" s="307"/>
      <c r="ER7" s="307"/>
      <c r="ES7" s="313"/>
      <c r="ET7" s="307"/>
      <c r="EU7" s="307"/>
      <c r="EV7" s="307"/>
      <c r="EW7" s="307"/>
      <c r="FB7" s="132"/>
      <c r="FC7" s="261"/>
      <c r="FD7" s="132"/>
      <c r="FE7" s="132"/>
      <c r="FF7" s="132"/>
      <c r="FG7" s="315"/>
      <c r="FH7" s="315"/>
      <c r="FI7" s="317"/>
      <c r="FJ7" s="119"/>
      <c r="FK7" s="135"/>
      <c r="FL7" s="310"/>
      <c r="FM7" s="310"/>
      <c r="FN7" s="310"/>
      <c r="FO7" s="310"/>
      <c r="FP7" s="310"/>
      <c r="FQ7" s="310"/>
      <c r="FR7" s="310"/>
      <c r="FS7" s="310"/>
      <c r="FT7" s="310"/>
      <c r="FU7" s="126"/>
      <c r="FV7" s="126"/>
      <c r="FW7" s="126"/>
      <c r="FX7" s="126"/>
      <c r="FY7" s="126"/>
      <c r="FZ7" s="126"/>
      <c r="GA7" s="126"/>
      <c r="GB7" s="126"/>
      <c r="GC7" s="126"/>
      <c r="GD7" s="126"/>
    </row>
    <row r="8" spans="1:187" s="118" customFormat="1" ht="13.5" customHeight="1" x14ac:dyDescent="0.2">
      <c r="B8" s="158" t="s">
        <v>185</v>
      </c>
      <c r="C8" s="159" t="s">
        <v>188</v>
      </c>
      <c r="D8" s="170">
        <f>IF(ISNA(VLOOKUP($B8,Batting!$B$6:$D$41,3,FALSE)),0,(VLOOKUP($B8,Batting!$B$6:$D$41,3,FALSE)))</f>
        <v>13</v>
      </c>
      <c r="E8" s="171">
        <f>IF(COUNT(Y8,AD8,AI8,AN8,AS8,AX8,BC8,BH8,BM8,BR8,BW8,CB8,CG8,CL8,CQ8,CV8,DA8,DF8,DK8,DP8)=0,"-",COUNT(Y8,AD8,AI8,AN8,AS8,AX8,BC8,BH8,BM8,BR8,BW8,CB8,CG8,CL8,CQ8,CV8,DA8,DF8,DK8,DP8))</f>
        <v>13</v>
      </c>
      <c r="F8" s="175">
        <f t="shared" si="0"/>
        <v>83.2</v>
      </c>
      <c r="G8" s="176">
        <f t="shared" si="0"/>
        <v>7</v>
      </c>
      <c r="H8" s="176">
        <f t="shared" si="0"/>
        <v>412</v>
      </c>
      <c r="I8" s="176">
        <f t="shared" si="0"/>
        <v>16</v>
      </c>
      <c r="J8" s="175">
        <f>IF(I8=0,"-",F8/I8)</f>
        <v>5.2</v>
      </c>
      <c r="K8" s="175">
        <f>IF(F8=0,"-",H8/F8)</f>
        <v>4.9519230769230766</v>
      </c>
      <c r="L8" s="344">
        <f>IF(I8=0,"-",H8/I8)</f>
        <v>25.75</v>
      </c>
      <c r="M8" s="134"/>
      <c r="N8" s="296"/>
      <c r="O8" s="171"/>
      <c r="P8" s="171"/>
      <c r="Q8" s="171"/>
      <c r="R8" s="124"/>
      <c r="S8" s="163">
        <f>(I8*20)-(H8/5)</f>
        <v>237.6</v>
      </c>
      <c r="T8" s="134"/>
      <c r="U8" s="294">
        <f>IF(FC8="-",H8/F8,(FE8+H8)/(FC8+F8))</f>
        <v>5.2154195011337867</v>
      </c>
      <c r="V8" s="294">
        <f>IF(FC8="-",IF(I8=0,H8,H8/I8),IF(FF8+I8=0,FE8+H8,(FE8+H8)/(FF8+I8)))</f>
        <v>28.75</v>
      </c>
      <c r="W8" s="177">
        <f>IF(FC8="-",IF(F8&lt;30,FK8,((IF(V8&gt;30,1,IF(V8&gt;25,2,IF(V8&gt;20,3,IF(V8&gt;15,4,IF(V8&gt;=0,5,0))))))+(IF(U8&gt;6,1,IF(U8&gt;5.5,2,IF(U8&gt;5,3,IF(U8&gt;4.5,4,IF(U8&gt;=0,5,0)))))))/2),IF(FC8+F8&lt;30,FK8,((IF(V8&gt;30,1,IF(V8&gt;25,2,IF(V8&gt;20,3,IF(V8&gt;15,4,IF(V8&gt;=0,5,0))))))+(IF(U8&gt;6,1,IF(U8&gt;5.5,2,IF(U8&gt;5,3,IF(U8&gt;4.5,4,IF(U8&gt;=0,5,0)))))))/2))</f>
        <v>2.5</v>
      </c>
      <c r="X8" s="122"/>
      <c r="Y8" s="296"/>
      <c r="Z8" s="171"/>
      <c r="AA8" s="171"/>
      <c r="AB8" s="171"/>
      <c r="AC8" s="319"/>
      <c r="AD8" s="296"/>
      <c r="AE8" s="171"/>
      <c r="AF8" s="171"/>
      <c r="AG8" s="171"/>
      <c r="AH8" s="319"/>
      <c r="AI8" s="296">
        <v>5</v>
      </c>
      <c r="AJ8" s="171">
        <v>0</v>
      </c>
      <c r="AK8" s="171">
        <v>33</v>
      </c>
      <c r="AL8" s="171">
        <v>1</v>
      </c>
      <c r="AM8" s="319"/>
      <c r="AN8" s="296">
        <v>8</v>
      </c>
      <c r="AO8" s="171">
        <v>0</v>
      </c>
      <c r="AP8" s="171">
        <v>26</v>
      </c>
      <c r="AQ8" s="171">
        <v>2</v>
      </c>
      <c r="AR8" s="319"/>
      <c r="AS8" s="296">
        <v>8</v>
      </c>
      <c r="AT8" s="171">
        <v>0</v>
      </c>
      <c r="AU8" s="171">
        <v>37</v>
      </c>
      <c r="AV8" s="171">
        <v>0</v>
      </c>
      <c r="AW8" s="319"/>
      <c r="AX8" s="296"/>
      <c r="AY8" s="171"/>
      <c r="AZ8" s="171"/>
      <c r="BA8" s="171"/>
      <c r="BB8" s="319"/>
      <c r="BC8" s="296"/>
      <c r="BD8" s="171"/>
      <c r="BE8" s="171"/>
      <c r="BF8" s="171"/>
      <c r="BG8" s="319"/>
      <c r="BH8" s="296">
        <v>8</v>
      </c>
      <c r="BI8" s="171">
        <v>2</v>
      </c>
      <c r="BJ8" s="171">
        <v>21</v>
      </c>
      <c r="BK8" s="171">
        <v>0</v>
      </c>
      <c r="BL8" s="319"/>
      <c r="BM8" s="296">
        <v>5</v>
      </c>
      <c r="BN8" s="171">
        <v>2</v>
      </c>
      <c r="BO8" s="171">
        <v>18</v>
      </c>
      <c r="BP8" s="171">
        <v>1</v>
      </c>
      <c r="BQ8" s="319"/>
      <c r="BR8" s="296">
        <v>8</v>
      </c>
      <c r="BS8" s="171">
        <v>1</v>
      </c>
      <c r="BT8" s="171">
        <v>50</v>
      </c>
      <c r="BU8" s="171">
        <v>2</v>
      </c>
      <c r="BV8" s="319"/>
      <c r="BW8" s="296">
        <v>9</v>
      </c>
      <c r="BX8" s="171">
        <v>0</v>
      </c>
      <c r="BY8" s="171">
        <v>68</v>
      </c>
      <c r="BZ8" s="171">
        <v>1</v>
      </c>
      <c r="CA8" s="319"/>
      <c r="CB8" s="296">
        <v>8</v>
      </c>
      <c r="CC8" s="171">
        <v>1</v>
      </c>
      <c r="CD8" s="171">
        <v>25</v>
      </c>
      <c r="CE8" s="171">
        <v>1</v>
      </c>
      <c r="CF8" s="319"/>
      <c r="CG8" s="296"/>
      <c r="CH8" s="171"/>
      <c r="CI8" s="171"/>
      <c r="CJ8" s="171"/>
      <c r="CK8" s="319"/>
      <c r="CL8" s="296">
        <v>3</v>
      </c>
      <c r="CM8" s="171">
        <v>0</v>
      </c>
      <c r="CN8" s="171">
        <v>16</v>
      </c>
      <c r="CO8" s="171">
        <v>3</v>
      </c>
      <c r="CP8" s="319"/>
      <c r="CQ8" s="296"/>
      <c r="CR8" s="171"/>
      <c r="CS8" s="171"/>
      <c r="CT8" s="171"/>
      <c r="CU8" s="319"/>
      <c r="CV8" s="296">
        <v>7</v>
      </c>
      <c r="CW8" s="171">
        <v>0</v>
      </c>
      <c r="CX8" s="171">
        <v>62</v>
      </c>
      <c r="CY8" s="171">
        <v>1</v>
      </c>
      <c r="CZ8" s="319"/>
      <c r="DA8" s="296">
        <v>4.2</v>
      </c>
      <c r="DB8" s="171">
        <v>0</v>
      </c>
      <c r="DC8" s="171">
        <v>9</v>
      </c>
      <c r="DD8" s="171">
        <v>3</v>
      </c>
      <c r="DE8" s="319"/>
      <c r="DF8" s="296">
        <v>5</v>
      </c>
      <c r="DG8" s="171">
        <v>1</v>
      </c>
      <c r="DH8" s="171">
        <v>26</v>
      </c>
      <c r="DI8" s="171">
        <v>1</v>
      </c>
      <c r="DJ8" s="319"/>
      <c r="DK8" s="296">
        <v>5</v>
      </c>
      <c r="DL8" s="171">
        <v>0</v>
      </c>
      <c r="DM8" s="171">
        <v>21</v>
      </c>
      <c r="DN8" s="171">
        <v>0</v>
      </c>
      <c r="DO8" s="319"/>
      <c r="DP8" s="296"/>
      <c r="DQ8" s="171"/>
      <c r="DR8" s="171"/>
      <c r="DS8" s="171"/>
      <c r="DT8" s="319"/>
      <c r="DU8" s="307"/>
      <c r="DV8" s="307"/>
      <c r="DW8" s="307"/>
      <c r="DX8" s="307"/>
      <c r="DY8" s="319"/>
      <c r="DZ8" s="307"/>
      <c r="EA8" s="307"/>
      <c r="EB8" s="307"/>
      <c r="EC8" s="307"/>
      <c r="ED8" s="307"/>
      <c r="EE8" s="307"/>
      <c r="EF8" s="307"/>
      <c r="EG8" s="307"/>
      <c r="EH8" s="307"/>
      <c r="EI8" s="313"/>
      <c r="EJ8" s="307"/>
      <c r="EK8" s="307"/>
      <c r="EL8" s="307"/>
      <c r="EM8" s="307"/>
      <c r="EN8" s="313"/>
      <c r="EO8" s="307"/>
      <c r="EP8" s="307"/>
      <c r="EQ8" s="307"/>
      <c r="ER8" s="307"/>
      <c r="ES8" s="313"/>
      <c r="ET8" s="307"/>
      <c r="EU8" s="307"/>
      <c r="EV8" s="307"/>
      <c r="EW8" s="307"/>
      <c r="FB8" s="132">
        <v>3</v>
      </c>
      <c r="FC8" s="261">
        <v>5</v>
      </c>
      <c r="FD8" s="132">
        <v>0</v>
      </c>
      <c r="FE8" s="132">
        <v>48</v>
      </c>
      <c r="FF8" s="132">
        <v>0</v>
      </c>
      <c r="FG8" s="315" t="str">
        <f>IF(FF8=0,"-",FC8/FF8)</f>
        <v>-</v>
      </c>
      <c r="FH8" s="315">
        <f>IF(FC8=0,"-",FE8/FC8)</f>
        <v>9.6</v>
      </c>
      <c r="FI8" s="317" t="str">
        <f>IF(FF8=0,"-",FE8/FF8)</f>
        <v>-</v>
      </c>
      <c r="FJ8" s="119"/>
      <c r="FK8" s="271"/>
      <c r="FL8" s="310"/>
      <c r="FM8" s="310"/>
      <c r="FN8" s="310"/>
      <c r="FO8" s="310"/>
      <c r="FP8" s="310"/>
      <c r="FQ8" s="310"/>
      <c r="FR8" s="310"/>
      <c r="FS8" s="310"/>
      <c r="FT8" s="310"/>
      <c r="FU8" s="126"/>
      <c r="FV8" s="126"/>
      <c r="FW8" s="126"/>
      <c r="FX8" s="126"/>
      <c r="FY8" s="126"/>
      <c r="FZ8" s="126"/>
      <c r="GA8" s="126"/>
      <c r="GB8" s="126"/>
      <c r="GC8" s="126"/>
      <c r="GD8" s="126"/>
    </row>
    <row r="9" spans="1:187" s="118" customFormat="1" ht="13.5" customHeight="1" x14ac:dyDescent="0.2">
      <c r="B9" s="158" t="s">
        <v>167</v>
      </c>
      <c r="C9" s="159" t="s">
        <v>189</v>
      </c>
      <c r="D9" s="170">
        <f>IF(ISNA(VLOOKUP($B9,Batting!$B$6:$D$41,3,FALSE)),0,(VLOOKUP($B9,Batting!$B$6:$D$41,3,FALSE)))</f>
        <v>11</v>
      </c>
      <c r="E9" s="171">
        <f>IF(COUNT(Y9,AD9,AI9,AN9,AS9,AX9,BC9,BH9,BM9,BR9,BW9,CB9,CG9,CL9,CQ9,CV9,DA9,DF9,DK9,DP9)=0,"-",COUNT(Y9,AD9,AI9,AN9,AS9,AX9,BC9,BH9,BM9,BR9,BW9,CB9,CG9,CL9,CQ9,CV9,DA9,DF9,DK9,DP9))</f>
        <v>11</v>
      </c>
      <c r="F9" s="175">
        <f t="shared" si="0"/>
        <v>67</v>
      </c>
      <c r="G9" s="176">
        <f t="shared" si="0"/>
        <v>6</v>
      </c>
      <c r="H9" s="176">
        <f t="shared" si="0"/>
        <v>374</v>
      </c>
      <c r="I9" s="176">
        <f t="shared" si="0"/>
        <v>14</v>
      </c>
      <c r="J9" s="175">
        <f>IF(I9=0,"-",F9/I9)</f>
        <v>4.7857142857142856</v>
      </c>
      <c r="K9" s="175">
        <f>IF(F9=0,"-",H9/F9)</f>
        <v>5.5820895522388057</v>
      </c>
      <c r="L9" s="344">
        <f>IF(I9=0,"-",H9/I9)</f>
        <v>26.714285714285715</v>
      </c>
      <c r="M9" s="134"/>
      <c r="N9" s="296"/>
      <c r="O9" s="171"/>
      <c r="P9" s="171"/>
      <c r="Q9" s="171"/>
      <c r="R9" s="124"/>
      <c r="S9" s="163">
        <f>(I9*20)-(H9/5)</f>
        <v>205.2</v>
      </c>
      <c r="T9" s="134"/>
      <c r="U9" s="294">
        <f>IF(FC9="-",H9/F9,(FE9+H9)/(FC9+F9))</f>
        <v>5.2231812577065346</v>
      </c>
      <c r="V9" s="294">
        <f>IF(FC9="-",IF(I9=0,H9,H9/I9),IF(FF9+I9=0,FE9+H9,(FE9+H9)/(FF9+I9)))</f>
        <v>22.0625</v>
      </c>
      <c r="W9" s="177">
        <f>IF(FC9="-",IF(F9&lt;30,FK9,((IF(V9&gt;30,1,IF(V9&gt;25,2,IF(V9&gt;20,3,IF(V9&gt;15,4,IF(V9&gt;=0,5,0))))))+(IF(U9&gt;6,1,IF(U9&gt;5.5,2,IF(U9&gt;5,3,IF(U9&gt;4.5,4,IF(U9&gt;=0,5,0)))))))/2),IF(FC9+F9&lt;30,FK9,((IF(V9&gt;30,1,IF(V9&gt;25,2,IF(V9&gt;20,3,IF(V9&gt;15,4,IF(V9&gt;=0,5,0))))))+(IF(U9&gt;6,1,IF(U9&gt;5.5,2,IF(U9&gt;5,3,IF(U9&gt;4.5,4,IF(U9&gt;=0,5,0)))))))/2))</f>
        <v>3</v>
      </c>
      <c r="X9" s="122"/>
      <c r="Y9" s="296"/>
      <c r="Z9" s="171"/>
      <c r="AA9" s="171"/>
      <c r="AB9" s="171"/>
      <c r="AC9" s="319"/>
      <c r="AD9" s="296"/>
      <c r="AE9" s="171"/>
      <c r="AF9" s="171"/>
      <c r="AG9" s="171"/>
      <c r="AH9" s="319"/>
      <c r="AI9" s="296">
        <v>4</v>
      </c>
      <c r="AJ9" s="171">
        <v>0</v>
      </c>
      <c r="AK9" s="171">
        <v>23</v>
      </c>
      <c r="AL9" s="171">
        <v>1</v>
      </c>
      <c r="AM9" s="319"/>
      <c r="AN9" s="296">
        <v>8</v>
      </c>
      <c r="AO9" s="171">
        <v>2</v>
      </c>
      <c r="AP9" s="171">
        <v>33</v>
      </c>
      <c r="AQ9" s="171">
        <v>1</v>
      </c>
      <c r="AR9" s="319"/>
      <c r="AS9" s="296">
        <v>8</v>
      </c>
      <c r="AT9" s="171">
        <v>0</v>
      </c>
      <c r="AU9" s="171">
        <v>60</v>
      </c>
      <c r="AV9" s="171">
        <v>1</v>
      </c>
      <c r="AW9" s="319"/>
      <c r="AX9" s="296"/>
      <c r="AY9" s="171"/>
      <c r="AZ9" s="171"/>
      <c r="BA9" s="171"/>
      <c r="BB9" s="319"/>
      <c r="BC9" s="296">
        <v>8</v>
      </c>
      <c r="BD9" s="171">
        <v>2</v>
      </c>
      <c r="BE9" s="171">
        <v>27</v>
      </c>
      <c r="BF9" s="171">
        <v>4</v>
      </c>
      <c r="BG9" s="319"/>
      <c r="BH9" s="296"/>
      <c r="BI9" s="171"/>
      <c r="BJ9" s="171"/>
      <c r="BK9" s="171"/>
      <c r="BL9" s="319"/>
      <c r="BM9" s="296"/>
      <c r="BN9" s="171"/>
      <c r="BO9" s="171"/>
      <c r="BP9" s="171"/>
      <c r="BQ9" s="319"/>
      <c r="BR9" s="296"/>
      <c r="BS9" s="171"/>
      <c r="BT9" s="171"/>
      <c r="BU9" s="171"/>
      <c r="BV9" s="319"/>
      <c r="BW9" s="296">
        <v>5</v>
      </c>
      <c r="BX9" s="171">
        <v>0</v>
      </c>
      <c r="BY9" s="171">
        <v>36</v>
      </c>
      <c r="BZ9" s="171">
        <v>0</v>
      </c>
      <c r="CA9" s="319"/>
      <c r="CB9" s="296">
        <v>5</v>
      </c>
      <c r="CC9" s="171">
        <v>0</v>
      </c>
      <c r="CD9" s="171">
        <v>30</v>
      </c>
      <c r="CE9" s="171">
        <v>1</v>
      </c>
      <c r="CF9" s="319"/>
      <c r="CG9" s="296"/>
      <c r="CH9" s="171"/>
      <c r="CI9" s="171"/>
      <c r="CJ9" s="171"/>
      <c r="CK9" s="319"/>
      <c r="CL9" s="296">
        <v>5</v>
      </c>
      <c r="CM9" s="171">
        <v>1</v>
      </c>
      <c r="CN9" s="171">
        <v>34</v>
      </c>
      <c r="CO9" s="171">
        <v>1</v>
      </c>
      <c r="CP9" s="319"/>
      <c r="CQ9" s="296"/>
      <c r="CR9" s="171"/>
      <c r="CS9" s="171"/>
      <c r="CT9" s="171"/>
      <c r="CU9" s="319"/>
      <c r="CV9" s="296">
        <v>5</v>
      </c>
      <c r="CW9" s="171">
        <v>0</v>
      </c>
      <c r="CX9" s="171">
        <v>35</v>
      </c>
      <c r="CY9" s="171">
        <v>1</v>
      </c>
      <c r="CZ9" s="319"/>
      <c r="DA9" s="296">
        <v>6</v>
      </c>
      <c r="DB9" s="171">
        <v>0</v>
      </c>
      <c r="DC9" s="171">
        <v>34</v>
      </c>
      <c r="DD9" s="171">
        <v>1</v>
      </c>
      <c r="DE9" s="319"/>
      <c r="DF9" s="296">
        <v>5</v>
      </c>
      <c r="DG9" s="171">
        <v>0</v>
      </c>
      <c r="DH9" s="171">
        <v>37</v>
      </c>
      <c r="DI9" s="171">
        <v>3</v>
      </c>
      <c r="DJ9" s="319"/>
      <c r="DK9" s="296">
        <v>8</v>
      </c>
      <c r="DL9" s="171">
        <v>1</v>
      </c>
      <c r="DM9" s="171">
        <v>25</v>
      </c>
      <c r="DN9" s="171">
        <v>0</v>
      </c>
      <c r="DO9" s="319"/>
      <c r="DP9" s="296"/>
      <c r="DQ9" s="171"/>
      <c r="DR9" s="171"/>
      <c r="DS9" s="171"/>
      <c r="DT9" s="319"/>
      <c r="DU9" s="320"/>
      <c r="DV9" s="154"/>
      <c r="DW9" s="154"/>
      <c r="DX9" s="154"/>
      <c r="DY9" s="319"/>
      <c r="DZ9" s="320"/>
      <c r="EA9" s="154"/>
      <c r="EB9" s="154"/>
      <c r="EC9" s="154"/>
      <c r="ED9" s="313"/>
      <c r="EE9" s="307"/>
      <c r="EF9" s="307"/>
      <c r="EG9" s="307"/>
      <c r="EH9" s="307"/>
      <c r="EI9" s="313"/>
      <c r="EJ9" s="307"/>
      <c r="EK9" s="307"/>
      <c r="EL9" s="307"/>
      <c r="EM9" s="307"/>
      <c r="EN9" s="313"/>
      <c r="EO9" s="307"/>
      <c r="EP9" s="307"/>
      <c r="EQ9" s="307"/>
      <c r="ER9" s="307"/>
      <c r="ES9" s="313"/>
      <c r="ET9" s="307"/>
      <c r="EU9" s="307"/>
      <c r="EV9" s="307"/>
      <c r="EW9" s="307"/>
      <c r="FB9" s="132">
        <v>14</v>
      </c>
      <c r="FC9" s="261">
        <v>68.166666666666671</v>
      </c>
      <c r="FD9" s="132">
        <v>6</v>
      </c>
      <c r="FE9" s="132">
        <v>332</v>
      </c>
      <c r="FF9" s="132">
        <v>18</v>
      </c>
      <c r="FG9" s="315">
        <f>IF(FF9=0,"-",FC9/FF9)</f>
        <v>3.7870370370370372</v>
      </c>
      <c r="FH9" s="315">
        <f>IF(FC9=0,"-",FE9/FC9)</f>
        <v>4.8704156479217602</v>
      </c>
      <c r="FI9" s="317">
        <f>IF(FF9=0,"-",FE9/FF9)</f>
        <v>18.444444444444443</v>
      </c>
      <c r="FJ9" s="119"/>
      <c r="FK9" s="271"/>
      <c r="FL9" s="310"/>
      <c r="FM9" s="310"/>
      <c r="FN9" s="310"/>
      <c r="FO9" s="310"/>
      <c r="FP9" s="310"/>
      <c r="FQ9" s="310"/>
      <c r="FR9" s="310"/>
      <c r="FS9" s="310"/>
      <c r="FT9" s="310"/>
      <c r="FU9" s="126"/>
      <c r="FV9" s="126"/>
      <c r="FW9" s="126"/>
      <c r="FX9" s="126"/>
      <c r="FY9" s="126"/>
      <c r="FZ9" s="126"/>
      <c r="GA9" s="126"/>
      <c r="GB9" s="126"/>
      <c r="GC9" s="126"/>
      <c r="GD9" s="126"/>
    </row>
    <row r="10" spans="1:187" s="118" customFormat="1" ht="13.5" customHeight="1" x14ac:dyDescent="0.2">
      <c r="B10" s="321"/>
      <c r="C10" s="321"/>
      <c r="D10" s="321"/>
      <c r="E10" s="321"/>
      <c r="F10" s="322"/>
      <c r="G10" s="322"/>
      <c r="H10" s="322"/>
      <c r="I10" s="322"/>
      <c r="J10" s="322"/>
      <c r="K10" s="323"/>
      <c r="L10" s="322"/>
      <c r="M10" s="123"/>
      <c r="N10" s="322"/>
      <c r="O10" s="322"/>
      <c r="P10" s="322"/>
      <c r="Q10" s="322"/>
      <c r="R10" s="258"/>
      <c r="S10" s="322"/>
      <c r="T10" s="322"/>
      <c r="U10" s="322"/>
      <c r="V10" s="322"/>
      <c r="W10" s="322"/>
      <c r="X10" s="122"/>
      <c r="Y10" s="322"/>
      <c r="Z10" s="322"/>
      <c r="AA10" s="322"/>
      <c r="AB10" s="322"/>
      <c r="AC10" s="322"/>
      <c r="AD10" s="322"/>
      <c r="AE10" s="322"/>
      <c r="AF10" s="322"/>
      <c r="AG10" s="322"/>
      <c r="AH10" s="322"/>
      <c r="AI10" s="322"/>
      <c r="AJ10" s="322"/>
      <c r="AK10" s="322"/>
      <c r="AL10" s="322"/>
      <c r="AM10" s="322"/>
      <c r="AN10" s="322"/>
      <c r="AO10" s="322"/>
      <c r="AP10" s="322"/>
      <c r="AQ10" s="322"/>
      <c r="AR10" s="322"/>
      <c r="AS10" s="322"/>
      <c r="AT10" s="322"/>
      <c r="AU10" s="322"/>
      <c r="AV10" s="322"/>
      <c r="AW10" s="322"/>
      <c r="AX10" s="322"/>
      <c r="AY10" s="322"/>
      <c r="AZ10" s="322"/>
      <c r="BA10" s="322"/>
      <c r="BB10" s="322"/>
      <c r="BC10" s="322"/>
      <c r="BD10" s="322"/>
      <c r="BE10" s="322"/>
      <c r="BF10" s="322"/>
      <c r="BG10" s="322"/>
      <c r="BH10" s="322"/>
      <c r="BI10" s="322"/>
      <c r="BJ10" s="322"/>
      <c r="BK10" s="322"/>
      <c r="BL10" s="322"/>
      <c r="BM10" s="322"/>
      <c r="BN10" s="322"/>
      <c r="BO10" s="322"/>
      <c r="BP10" s="322"/>
      <c r="BQ10" s="322"/>
      <c r="BR10" s="322"/>
      <c r="BS10" s="322"/>
      <c r="BT10" s="322"/>
      <c r="BU10" s="322"/>
      <c r="BV10" s="322"/>
      <c r="BW10" s="322"/>
      <c r="BX10" s="322"/>
      <c r="BY10" s="322"/>
      <c r="BZ10" s="322"/>
      <c r="CA10" s="322"/>
      <c r="CB10" s="322"/>
      <c r="CC10" s="322"/>
      <c r="CD10" s="322"/>
      <c r="CE10" s="322"/>
      <c r="CF10" s="322"/>
      <c r="CG10" s="322"/>
      <c r="CH10" s="322"/>
      <c r="CI10" s="322"/>
      <c r="CJ10" s="322"/>
      <c r="CK10" s="322"/>
      <c r="CL10" s="322"/>
      <c r="CM10" s="322"/>
      <c r="CN10" s="322"/>
      <c r="CO10" s="322"/>
      <c r="CP10" s="322"/>
      <c r="CQ10" s="322"/>
      <c r="CR10" s="322"/>
      <c r="CS10" s="322"/>
      <c r="CT10" s="322"/>
      <c r="CU10" s="322"/>
      <c r="CV10" s="322"/>
      <c r="CW10" s="322"/>
      <c r="CX10" s="322"/>
      <c r="CY10" s="322"/>
      <c r="CZ10" s="322"/>
      <c r="DA10" s="322"/>
      <c r="DB10" s="322"/>
      <c r="DC10" s="322"/>
      <c r="DD10" s="322"/>
      <c r="DE10" s="322"/>
      <c r="DF10" s="322"/>
      <c r="DG10" s="322"/>
      <c r="DH10" s="322"/>
      <c r="DI10" s="322"/>
      <c r="DJ10" s="322"/>
      <c r="DK10" s="322"/>
      <c r="DL10" s="322"/>
      <c r="DM10" s="322"/>
      <c r="DN10" s="322"/>
      <c r="DO10" s="322"/>
      <c r="DP10" s="322"/>
      <c r="DQ10" s="322"/>
      <c r="DR10" s="322"/>
      <c r="DS10" s="322"/>
      <c r="DT10" s="322"/>
      <c r="DU10" s="258"/>
      <c r="DV10" s="258"/>
      <c r="DW10" s="258"/>
      <c r="DX10" s="258"/>
      <c r="DY10" s="258"/>
      <c r="DZ10" s="258"/>
      <c r="EA10" s="258"/>
      <c r="EB10" s="258"/>
      <c r="EC10" s="258"/>
      <c r="FB10" s="322"/>
      <c r="FC10" s="322"/>
      <c r="FD10" s="322"/>
      <c r="FE10" s="322"/>
      <c r="FF10" s="322"/>
      <c r="FG10" s="322"/>
      <c r="FH10" s="322"/>
      <c r="FI10" s="322"/>
      <c r="FJ10" s="126"/>
      <c r="FK10" s="126"/>
      <c r="FL10" s="126"/>
      <c r="FM10" s="126"/>
      <c r="FN10" s="126"/>
      <c r="FO10" s="126"/>
      <c r="FP10" s="126"/>
      <c r="FQ10" s="126"/>
      <c r="FR10" s="126"/>
      <c r="FS10" s="126"/>
      <c r="FT10" s="126"/>
      <c r="FU10" s="126"/>
      <c r="FV10" s="126"/>
      <c r="FW10" s="126"/>
      <c r="FX10" s="126"/>
      <c r="FY10" s="126"/>
      <c r="FZ10" s="126"/>
      <c r="GA10" s="126"/>
      <c r="GB10" s="126"/>
      <c r="GC10" s="126"/>
      <c r="GD10" s="126"/>
      <c r="GE10" s="126"/>
    </row>
    <row r="11" spans="1:187" s="118" customFormat="1" ht="13.5" customHeight="1" x14ac:dyDescent="0.2">
      <c r="H11" s="422"/>
      <c r="S11" s="179" t="s">
        <v>17</v>
      </c>
      <c r="U11" s="337" t="s">
        <v>172</v>
      </c>
      <c r="V11" s="338"/>
      <c r="W11" s="457" t="s">
        <v>173</v>
      </c>
      <c r="X11" s="122"/>
      <c r="Y11" s="258"/>
      <c r="Z11" s="258"/>
      <c r="AA11" s="258"/>
      <c r="AB11" s="258"/>
      <c r="AC11" s="258"/>
      <c r="AD11" s="258"/>
      <c r="AE11" s="258"/>
      <c r="AF11" s="258"/>
      <c r="AG11" s="258"/>
      <c r="AH11" s="258"/>
      <c r="AI11" s="258"/>
      <c r="AJ11" s="258"/>
      <c r="AK11" s="258"/>
      <c r="AL11" s="258"/>
      <c r="AM11" s="258"/>
      <c r="AN11" s="258"/>
      <c r="AO11" s="258"/>
      <c r="AP11" s="258"/>
      <c r="AQ11" s="258"/>
      <c r="AR11" s="258"/>
      <c r="AS11" s="258"/>
      <c r="AT11" s="258"/>
      <c r="AU11" s="258"/>
      <c r="AV11" s="258"/>
      <c r="AW11" s="258"/>
      <c r="AX11" s="258"/>
      <c r="AY11" s="258"/>
      <c r="AZ11" s="258"/>
      <c r="BA11" s="258"/>
      <c r="BB11" s="258"/>
      <c r="BC11" s="258"/>
      <c r="BD11" s="258"/>
      <c r="BE11" s="258"/>
      <c r="BF11" s="258"/>
      <c r="BG11" s="258"/>
      <c r="BH11" s="258"/>
      <c r="BI11" s="258"/>
      <c r="BJ11" s="258"/>
      <c r="BK11" s="258"/>
      <c r="BL11" s="258"/>
      <c r="BM11" s="258"/>
      <c r="BN11" s="258"/>
      <c r="BO11" s="258"/>
      <c r="BP11" s="258"/>
      <c r="BQ11" s="258"/>
      <c r="BR11" s="258"/>
      <c r="BS11" s="258"/>
      <c r="BT11" s="258"/>
      <c r="BU11" s="258"/>
      <c r="BV11" s="258"/>
      <c r="BW11" s="258"/>
      <c r="BX11" s="258"/>
      <c r="BY11" s="258"/>
      <c r="BZ11" s="258"/>
      <c r="CA11" s="258"/>
      <c r="CB11" s="258"/>
      <c r="CC11" s="258"/>
      <c r="CD11" s="258"/>
      <c r="CE11" s="258"/>
      <c r="CF11" s="258"/>
      <c r="CG11" s="258"/>
      <c r="CH11" s="258"/>
      <c r="CI11" s="258"/>
      <c r="CJ11" s="258"/>
      <c r="CK11" s="258"/>
      <c r="CL11" s="258"/>
      <c r="CM11" s="258"/>
      <c r="CN11" s="258"/>
      <c r="CO11" s="258"/>
      <c r="CP11" s="258"/>
      <c r="CQ11" s="258"/>
      <c r="CR11" s="258"/>
      <c r="CS11" s="258"/>
      <c r="CT11" s="258"/>
      <c r="CU11" s="258"/>
      <c r="CV11" s="258"/>
      <c r="CW11" s="258"/>
      <c r="CX11" s="258"/>
      <c r="CY11" s="258"/>
      <c r="CZ11" s="258"/>
      <c r="DA11" s="258"/>
      <c r="DB11" s="258"/>
      <c r="DC11" s="258"/>
      <c r="DD11" s="258"/>
      <c r="DE11" s="258"/>
      <c r="DF11" s="258"/>
      <c r="DG11" s="258"/>
      <c r="DH11" s="258"/>
      <c r="DI11" s="258"/>
      <c r="DJ11" s="258"/>
      <c r="DK11" s="258"/>
      <c r="DL11" s="258"/>
      <c r="DM11" s="258"/>
      <c r="DN11" s="258"/>
      <c r="DO11" s="258"/>
      <c r="DP11" s="258"/>
      <c r="DQ11" s="258"/>
      <c r="DR11" s="258"/>
      <c r="DS11" s="258"/>
      <c r="DT11" s="258"/>
      <c r="DU11" s="258"/>
      <c r="DV11" s="258"/>
      <c r="DW11" s="258"/>
      <c r="DX11" s="258"/>
      <c r="DY11" s="258"/>
      <c r="DZ11" s="258"/>
      <c r="EA11" s="258"/>
      <c r="EB11" s="258"/>
      <c r="EC11" s="258"/>
      <c r="FB11" s="310"/>
      <c r="FC11" s="310"/>
      <c r="FD11" s="310"/>
      <c r="FE11" s="310"/>
      <c r="FF11" s="310"/>
      <c r="FG11" s="310"/>
      <c r="FH11" s="310"/>
      <c r="FI11" s="310"/>
      <c r="FJ11" s="310"/>
      <c r="FK11" s="310"/>
      <c r="FM11" s="310"/>
      <c r="FN11" s="310"/>
      <c r="FO11" s="310"/>
      <c r="FP11" s="310"/>
      <c r="FQ11" s="310"/>
      <c r="FR11" s="310"/>
      <c r="FS11" s="310"/>
      <c r="FT11" s="310"/>
      <c r="FU11" s="126"/>
      <c r="FV11" s="126"/>
      <c r="FW11" s="126"/>
      <c r="FX11" s="126"/>
      <c r="FY11" s="126"/>
      <c r="FZ11" s="126"/>
      <c r="GA11" s="126"/>
      <c r="GB11" s="126"/>
      <c r="GC11" s="126"/>
      <c r="GD11" s="126"/>
    </row>
    <row r="12" spans="1:187" s="118" customFormat="1" ht="13.5" customHeight="1" x14ac:dyDescent="0.2">
      <c r="B12" s="122"/>
      <c r="C12" s="122"/>
      <c r="D12" s="122"/>
      <c r="E12" s="122"/>
      <c r="F12" s="123"/>
      <c r="G12" s="123"/>
      <c r="H12" s="123"/>
      <c r="I12" s="123"/>
      <c r="J12" s="187" t="s">
        <v>58</v>
      </c>
      <c r="K12" s="187" t="s">
        <v>59</v>
      </c>
      <c r="L12" s="187" t="s">
        <v>60</v>
      </c>
      <c r="M12" s="123"/>
      <c r="N12" s="184" t="s">
        <v>61</v>
      </c>
      <c r="O12" s="185"/>
      <c r="P12" s="185"/>
      <c r="Q12" s="186"/>
      <c r="R12" s="124"/>
      <c r="S12" s="235" t="s">
        <v>28</v>
      </c>
      <c r="T12" s="123"/>
      <c r="U12" s="339" t="s">
        <v>174</v>
      </c>
      <c r="V12" s="340"/>
      <c r="W12" s="458"/>
      <c r="X12" s="122"/>
      <c r="Y12" s="325"/>
      <c r="Z12" s="326"/>
      <c r="AA12" s="326"/>
      <c r="AB12" s="326"/>
      <c r="AC12" s="124"/>
      <c r="AD12" s="325"/>
      <c r="AE12" s="326"/>
      <c r="AF12" s="326"/>
      <c r="AG12" s="326"/>
      <c r="AH12" s="124"/>
      <c r="AI12" s="325"/>
      <c r="AJ12" s="326"/>
      <c r="AK12" s="326"/>
      <c r="AL12" s="326"/>
      <c r="AM12" s="124"/>
      <c r="AN12" s="325"/>
      <c r="AO12" s="326"/>
      <c r="AP12" s="326"/>
      <c r="AQ12" s="326"/>
      <c r="AR12" s="124"/>
      <c r="AS12" s="325"/>
      <c r="AT12" s="326"/>
      <c r="AU12" s="326"/>
      <c r="AV12" s="326"/>
      <c r="AW12" s="124"/>
      <c r="AX12" s="325"/>
      <c r="AY12" s="326"/>
      <c r="AZ12" s="326"/>
      <c r="BA12" s="326"/>
      <c r="BB12" s="124"/>
      <c r="BC12" s="325"/>
      <c r="BD12" s="326"/>
      <c r="BE12" s="326"/>
      <c r="BF12" s="326"/>
      <c r="BG12" s="124"/>
      <c r="BH12" s="325"/>
      <c r="BI12" s="326"/>
      <c r="BJ12" s="326"/>
      <c r="BK12" s="326"/>
      <c r="BL12" s="124"/>
      <c r="BM12" s="325"/>
      <c r="BN12" s="326"/>
      <c r="BO12" s="326"/>
      <c r="BP12" s="326"/>
      <c r="BQ12" s="124"/>
      <c r="BR12" s="325"/>
      <c r="BS12" s="326"/>
      <c r="BT12" s="326"/>
      <c r="BU12" s="326"/>
      <c r="BV12" s="124"/>
      <c r="BW12" s="325"/>
      <c r="BX12" s="326"/>
      <c r="BY12" s="326"/>
      <c r="BZ12" s="326"/>
      <c r="CA12" s="124"/>
      <c r="CB12" s="325"/>
      <c r="CC12" s="326"/>
      <c r="CD12" s="326"/>
      <c r="CE12" s="326"/>
      <c r="CF12" s="124"/>
      <c r="CG12" s="325"/>
      <c r="CH12" s="326"/>
      <c r="CI12" s="326"/>
      <c r="CJ12" s="326"/>
      <c r="CK12" s="124"/>
      <c r="CL12" s="325"/>
      <c r="CM12" s="326"/>
      <c r="CN12" s="326"/>
      <c r="CO12" s="326"/>
      <c r="CP12" s="124"/>
      <c r="CQ12" s="325"/>
      <c r="CR12" s="326"/>
      <c r="CS12" s="326"/>
      <c r="CT12" s="326"/>
      <c r="CU12" s="124"/>
      <c r="CV12" s="325"/>
      <c r="CW12" s="326"/>
      <c r="CX12" s="326"/>
      <c r="CY12" s="326"/>
      <c r="CZ12" s="124"/>
      <c r="DA12" s="325"/>
      <c r="DB12" s="326"/>
      <c r="DC12" s="326"/>
      <c r="DD12" s="326"/>
      <c r="DE12" s="124" t="s">
        <v>19</v>
      </c>
      <c r="DF12" s="325"/>
      <c r="DG12" s="326"/>
      <c r="DH12" s="326"/>
      <c r="DI12" s="326"/>
      <c r="DJ12" s="124" t="s">
        <v>19</v>
      </c>
      <c r="DK12" s="325"/>
      <c r="DL12" s="326"/>
      <c r="DM12" s="326"/>
      <c r="DN12" s="326"/>
      <c r="DO12" s="124" t="s">
        <v>19</v>
      </c>
      <c r="DP12" s="325"/>
      <c r="DQ12" s="326"/>
      <c r="DR12" s="326"/>
      <c r="DS12" s="326"/>
      <c r="DT12" s="124" t="s">
        <v>19</v>
      </c>
      <c r="DU12" s="309"/>
      <c r="DV12" s="307"/>
      <c r="DW12" s="307"/>
      <c r="DX12" s="307"/>
      <c r="DY12" s="124"/>
      <c r="DZ12" s="309"/>
      <c r="EA12" s="307"/>
      <c r="EB12" s="307"/>
      <c r="EC12" s="307"/>
      <c r="ED12" s="307"/>
      <c r="EE12" s="309"/>
      <c r="EF12" s="307"/>
      <c r="EG12" s="307"/>
      <c r="EH12" s="307"/>
      <c r="EI12" s="307"/>
      <c r="EJ12" s="309"/>
      <c r="EK12" s="307"/>
      <c r="EL12" s="307"/>
      <c r="EM12" s="307"/>
      <c r="EN12" s="307"/>
      <c r="EO12" s="309"/>
      <c r="EP12" s="307"/>
      <c r="EQ12" s="307"/>
      <c r="ER12" s="307"/>
      <c r="ES12" s="307"/>
      <c r="ET12" s="309"/>
      <c r="EU12" s="307"/>
      <c r="EV12" s="307"/>
      <c r="EW12" s="307"/>
      <c r="FB12" s="464" t="s">
        <v>145</v>
      </c>
      <c r="FC12" s="465"/>
      <c r="FD12" s="465"/>
      <c r="FE12" s="465"/>
      <c r="FF12" s="465"/>
      <c r="FG12" s="465"/>
      <c r="FH12" s="465"/>
      <c r="FI12" s="466"/>
      <c r="FJ12" s="118" t="s">
        <v>19</v>
      </c>
      <c r="FK12" s="245" t="s">
        <v>20</v>
      </c>
      <c r="FM12" s="310"/>
      <c r="FN12" s="310"/>
      <c r="FO12" s="310"/>
      <c r="FP12" s="310"/>
      <c r="FQ12" s="310"/>
      <c r="FR12" s="310"/>
      <c r="FS12" s="310"/>
      <c r="FT12" s="310"/>
      <c r="FU12" s="126"/>
      <c r="FV12" s="126"/>
      <c r="FW12" s="126"/>
      <c r="FX12" s="126"/>
      <c r="FY12" s="126"/>
      <c r="FZ12" s="126"/>
      <c r="GA12" s="126"/>
      <c r="GB12" s="126"/>
      <c r="GC12" s="126"/>
      <c r="GD12" s="126"/>
    </row>
    <row r="13" spans="1:187" s="118" customFormat="1" ht="13.5" customHeight="1" x14ac:dyDescent="0.2">
      <c r="B13" s="188" t="s">
        <v>85</v>
      </c>
      <c r="C13" s="189"/>
      <c r="D13" s="189" t="s">
        <v>22</v>
      </c>
      <c r="E13" s="187" t="s">
        <v>23</v>
      </c>
      <c r="F13" s="187" t="s">
        <v>64</v>
      </c>
      <c r="G13" s="187" t="s">
        <v>65</v>
      </c>
      <c r="H13" s="187" t="s">
        <v>25</v>
      </c>
      <c r="I13" s="187" t="s">
        <v>66</v>
      </c>
      <c r="J13" s="187" t="s">
        <v>67</v>
      </c>
      <c r="K13" s="187" t="s">
        <v>68</v>
      </c>
      <c r="L13" s="187" t="s">
        <v>27</v>
      </c>
      <c r="M13" s="128"/>
      <c r="N13" s="187" t="s">
        <v>64</v>
      </c>
      <c r="O13" s="187" t="s">
        <v>65</v>
      </c>
      <c r="P13" s="187" t="s">
        <v>69</v>
      </c>
      <c r="Q13" s="187" t="s">
        <v>66</v>
      </c>
      <c r="R13" s="124"/>
      <c r="S13" s="180" t="s">
        <v>110</v>
      </c>
      <c r="T13" s="311"/>
      <c r="U13" s="169" t="s">
        <v>68</v>
      </c>
      <c r="V13" s="237" t="s">
        <v>27</v>
      </c>
      <c r="W13" s="180" t="s">
        <v>110</v>
      </c>
      <c r="X13" s="122"/>
      <c r="Y13" s="187" t="s">
        <v>64</v>
      </c>
      <c r="Z13" s="187" t="s">
        <v>65</v>
      </c>
      <c r="AA13" s="187" t="s">
        <v>69</v>
      </c>
      <c r="AB13" s="187" t="s">
        <v>66</v>
      </c>
      <c r="AC13" s="262"/>
      <c r="AD13" s="187" t="s">
        <v>64</v>
      </c>
      <c r="AE13" s="187" t="s">
        <v>65</v>
      </c>
      <c r="AF13" s="187" t="s">
        <v>69</v>
      </c>
      <c r="AG13" s="187" t="s">
        <v>66</v>
      </c>
      <c r="AH13" s="262"/>
      <c r="AI13" s="187" t="s">
        <v>64</v>
      </c>
      <c r="AJ13" s="187" t="s">
        <v>65</v>
      </c>
      <c r="AK13" s="187" t="s">
        <v>69</v>
      </c>
      <c r="AL13" s="187" t="s">
        <v>66</v>
      </c>
      <c r="AM13" s="262"/>
      <c r="AN13" s="187" t="s">
        <v>64</v>
      </c>
      <c r="AO13" s="187" t="s">
        <v>65</v>
      </c>
      <c r="AP13" s="187" t="s">
        <v>69</v>
      </c>
      <c r="AQ13" s="187" t="s">
        <v>66</v>
      </c>
      <c r="AR13" s="262"/>
      <c r="AS13" s="187" t="s">
        <v>64</v>
      </c>
      <c r="AT13" s="187" t="s">
        <v>65</v>
      </c>
      <c r="AU13" s="187" t="s">
        <v>69</v>
      </c>
      <c r="AV13" s="187" t="s">
        <v>66</v>
      </c>
      <c r="AW13" s="262"/>
      <c r="AX13" s="187" t="s">
        <v>64</v>
      </c>
      <c r="AY13" s="187" t="s">
        <v>65</v>
      </c>
      <c r="AZ13" s="187" t="s">
        <v>69</v>
      </c>
      <c r="BA13" s="187" t="s">
        <v>66</v>
      </c>
      <c r="BB13" s="262"/>
      <c r="BC13" s="187" t="s">
        <v>64</v>
      </c>
      <c r="BD13" s="187" t="s">
        <v>65</v>
      </c>
      <c r="BE13" s="187" t="s">
        <v>69</v>
      </c>
      <c r="BF13" s="187" t="s">
        <v>66</v>
      </c>
      <c r="BG13" s="262"/>
      <c r="BH13" s="187" t="s">
        <v>64</v>
      </c>
      <c r="BI13" s="187" t="s">
        <v>65</v>
      </c>
      <c r="BJ13" s="187" t="s">
        <v>69</v>
      </c>
      <c r="BK13" s="187" t="s">
        <v>66</v>
      </c>
      <c r="BL13" s="262"/>
      <c r="BM13" s="187" t="s">
        <v>64</v>
      </c>
      <c r="BN13" s="187" t="s">
        <v>65</v>
      </c>
      <c r="BO13" s="187" t="s">
        <v>69</v>
      </c>
      <c r="BP13" s="187" t="s">
        <v>66</v>
      </c>
      <c r="BQ13" s="262"/>
      <c r="BR13" s="187" t="s">
        <v>64</v>
      </c>
      <c r="BS13" s="187" t="s">
        <v>65</v>
      </c>
      <c r="BT13" s="187" t="s">
        <v>69</v>
      </c>
      <c r="BU13" s="187" t="s">
        <v>66</v>
      </c>
      <c r="BV13" s="262"/>
      <c r="BW13" s="187" t="s">
        <v>64</v>
      </c>
      <c r="BX13" s="187" t="s">
        <v>65</v>
      </c>
      <c r="BY13" s="187" t="s">
        <v>69</v>
      </c>
      <c r="BZ13" s="187" t="s">
        <v>66</v>
      </c>
      <c r="CA13" s="262"/>
      <c r="CB13" s="187" t="s">
        <v>64</v>
      </c>
      <c r="CC13" s="187" t="s">
        <v>65</v>
      </c>
      <c r="CD13" s="187" t="s">
        <v>69</v>
      </c>
      <c r="CE13" s="187" t="s">
        <v>66</v>
      </c>
      <c r="CF13" s="262"/>
      <c r="CG13" s="187" t="s">
        <v>64</v>
      </c>
      <c r="CH13" s="187" t="s">
        <v>65</v>
      </c>
      <c r="CI13" s="187" t="s">
        <v>69</v>
      </c>
      <c r="CJ13" s="187" t="s">
        <v>66</v>
      </c>
      <c r="CK13" s="262"/>
      <c r="CL13" s="187" t="s">
        <v>64</v>
      </c>
      <c r="CM13" s="187" t="s">
        <v>65</v>
      </c>
      <c r="CN13" s="187" t="s">
        <v>69</v>
      </c>
      <c r="CO13" s="187" t="s">
        <v>66</v>
      </c>
      <c r="CP13" s="262"/>
      <c r="CQ13" s="187" t="s">
        <v>64</v>
      </c>
      <c r="CR13" s="187" t="s">
        <v>65</v>
      </c>
      <c r="CS13" s="187" t="s">
        <v>69</v>
      </c>
      <c r="CT13" s="187" t="s">
        <v>66</v>
      </c>
      <c r="CU13" s="262"/>
      <c r="CV13" s="187" t="s">
        <v>64</v>
      </c>
      <c r="CW13" s="187" t="s">
        <v>65</v>
      </c>
      <c r="CX13" s="187" t="s">
        <v>69</v>
      </c>
      <c r="CY13" s="187" t="s">
        <v>66</v>
      </c>
      <c r="CZ13" s="262"/>
      <c r="DA13" s="187" t="s">
        <v>64</v>
      </c>
      <c r="DB13" s="187" t="s">
        <v>65</v>
      </c>
      <c r="DC13" s="187" t="s">
        <v>69</v>
      </c>
      <c r="DD13" s="187" t="s">
        <v>66</v>
      </c>
      <c r="DE13" s="262"/>
      <c r="DF13" s="187" t="s">
        <v>64</v>
      </c>
      <c r="DG13" s="187" t="s">
        <v>65</v>
      </c>
      <c r="DH13" s="187" t="s">
        <v>69</v>
      </c>
      <c r="DI13" s="187" t="s">
        <v>66</v>
      </c>
      <c r="DJ13" s="262"/>
      <c r="DK13" s="187" t="s">
        <v>64</v>
      </c>
      <c r="DL13" s="187" t="s">
        <v>65</v>
      </c>
      <c r="DM13" s="187" t="s">
        <v>69</v>
      </c>
      <c r="DN13" s="187" t="s">
        <v>66</v>
      </c>
      <c r="DO13" s="262"/>
      <c r="DP13" s="187" t="s">
        <v>64</v>
      </c>
      <c r="DQ13" s="187" t="s">
        <v>65</v>
      </c>
      <c r="DR13" s="187" t="s">
        <v>69</v>
      </c>
      <c r="DS13" s="187" t="s">
        <v>66</v>
      </c>
      <c r="DT13" s="262"/>
      <c r="DU13" s="312"/>
      <c r="DV13" s="312"/>
      <c r="DW13" s="312"/>
      <c r="DX13" s="312"/>
      <c r="DY13" s="124"/>
      <c r="DZ13" s="312"/>
      <c r="EA13" s="312"/>
      <c r="EB13" s="312"/>
      <c r="EC13" s="312"/>
      <c r="ED13" s="313"/>
      <c r="EE13" s="314"/>
      <c r="EF13" s="314"/>
      <c r="EG13" s="314"/>
      <c r="EH13" s="314"/>
      <c r="EI13" s="313"/>
      <c r="EJ13" s="314"/>
      <c r="EK13" s="314"/>
      <c r="EL13" s="314"/>
      <c r="EM13" s="314"/>
      <c r="EN13" s="313"/>
      <c r="EO13" s="314"/>
      <c r="EP13" s="314"/>
      <c r="EQ13" s="314"/>
      <c r="ER13" s="314"/>
      <c r="ES13" s="313"/>
      <c r="ET13" s="314"/>
      <c r="EU13" s="314"/>
      <c r="EV13" s="314"/>
      <c r="EW13" s="314"/>
      <c r="FB13" s="256" t="s">
        <v>22</v>
      </c>
      <c r="FC13" s="256" t="s">
        <v>64</v>
      </c>
      <c r="FD13" s="256" t="s">
        <v>65</v>
      </c>
      <c r="FE13" s="256" t="s">
        <v>69</v>
      </c>
      <c r="FF13" s="256" t="s">
        <v>66</v>
      </c>
      <c r="FG13" s="256" t="s">
        <v>67</v>
      </c>
      <c r="FH13" s="256" t="s">
        <v>68</v>
      </c>
      <c r="FI13" s="256" t="s">
        <v>27</v>
      </c>
      <c r="FJ13" s="118" t="s">
        <v>19</v>
      </c>
      <c r="FK13" s="256" t="s">
        <v>30</v>
      </c>
      <c r="FL13" s="118" t="s">
        <v>19</v>
      </c>
      <c r="FM13" s="310"/>
      <c r="FN13" s="310"/>
      <c r="FO13" s="310"/>
      <c r="FP13" s="310"/>
      <c r="FQ13" s="310"/>
      <c r="FR13" s="310"/>
      <c r="FS13" s="310"/>
      <c r="FT13" s="310"/>
      <c r="FU13" s="126"/>
      <c r="FV13" s="126"/>
      <c r="FW13" s="126"/>
      <c r="FX13" s="126"/>
      <c r="FY13" s="126"/>
      <c r="FZ13" s="126"/>
      <c r="GA13" s="126"/>
      <c r="GB13" s="126"/>
      <c r="GC13" s="126"/>
      <c r="GD13" s="126"/>
    </row>
    <row r="14" spans="1:187" s="118" customFormat="1" ht="13.5" customHeight="1" x14ac:dyDescent="0.2">
      <c r="B14" s="158" t="s">
        <v>282</v>
      </c>
      <c r="C14" s="159" t="s">
        <v>222</v>
      </c>
      <c r="D14" s="170">
        <f>IF(ISNA(VLOOKUP($B14,Batting!$B$6:$D$41,3,FALSE)),0,(VLOOKUP($B14,Batting!$B$6:$D$41,3,FALSE)))</f>
        <v>6</v>
      </c>
      <c r="E14" s="171">
        <f t="shared" ref="E14:E28" si="1">IF(COUNT(Y14,AD14,AI14,AN14,AS14,AX14,BC14,BH14,BM14,BR14,BW14,CB14,CG14,CL14,CQ14,CV14,DA14,DF14,DK14,DP14)=0,"-",COUNT(Y14,AD14,AI14,AN14,AS14,AX14,BC14,BH14,BM14,BR14,BW14,CB14,CG14,CL14,CQ14,CV14,DA14,DF14,DK14,DP14))</f>
        <v>5</v>
      </c>
      <c r="F14" s="175">
        <f t="shared" ref="F14:F36" si="2">SUM(Y14,AD14,AI14,AN14,AX14,AS14,BC14,BH14,BM14,BR14,BW14,CB14,CG14,CL14,CQ14,CV14,DA14,DF14,DK14,DP14,DU14,DZ14,EE14,EJ14,EO14,ET14)</f>
        <v>27</v>
      </c>
      <c r="G14" s="176">
        <f t="shared" ref="G14:G36" si="3">SUM(Z14,AE14,AJ14,AO14,AY14,AT14,BD14,BI14,BN14,BS14,BX14,CC14,CH14,CM14,CR14,CW14,DB14,DG14,DL14,DQ14,DV14,EA14,EF14,EK14,EP14,EU14)</f>
        <v>2</v>
      </c>
      <c r="H14" s="176">
        <f t="shared" ref="H14:H36" si="4">SUM(AA14,AF14,AK14,AP14,AZ14,AU14,BE14,BJ14,BO14,BT14,BY14,CD14,CI14,CN14,CS14,CX14,DC14,DH14,DM14,DR14,DW14,EB14,EG14,EL14,EQ14,EV14)</f>
        <v>153</v>
      </c>
      <c r="I14" s="176">
        <f t="shared" ref="I14:I36" si="5">SUM(AB14,AG14,AL14,AQ14,BA14,AV14,BF14,BK14,BP14,BU14,BZ14,CE14,CJ14,CO14,CT14,CY14,DD14,DI14,DN14,DS14,DX14,EC14,EH14,EM14,ER14,EW14)</f>
        <v>4</v>
      </c>
      <c r="J14" s="175">
        <f t="shared" ref="J14:J28" si="6">IF(I14=0,"-",F14/I14)</f>
        <v>6.75</v>
      </c>
      <c r="K14" s="175">
        <f t="shared" ref="K14:K28" si="7">IF(F14=0,"-",H14/F14)</f>
        <v>5.666666666666667</v>
      </c>
      <c r="L14" s="344">
        <f t="shared" ref="L14:L28" si="8">IF(I14=0,"-",H14/I14)</f>
        <v>38.25</v>
      </c>
      <c r="M14" s="134"/>
      <c r="N14" s="296"/>
      <c r="O14" s="171"/>
      <c r="P14" s="171"/>
      <c r="Q14" s="171"/>
      <c r="R14" s="124"/>
      <c r="S14" s="163">
        <f t="shared" ref="S14:S28" si="9">(I14*20)-(H14/5)</f>
        <v>49.4</v>
      </c>
      <c r="T14" s="134"/>
      <c r="U14" s="294">
        <f t="shared" ref="U14:U36" si="10">IF(FC14="-",H14/F14,(FE14+H14)/(FC14+F14))</f>
        <v>5.666666666666667</v>
      </c>
      <c r="V14" s="294">
        <f t="shared" ref="V14:V36" si="11">IF(FC14="-",IF(I14=0,H14,H14/I14),IF(FF14+I14=0,FE14+H14,(FE14+H14)/(FF14+I14)))</f>
        <v>38.25</v>
      </c>
      <c r="W14" s="177">
        <f t="shared" ref="W14:W36" si="12">IF(FC14="-",IF(F14&lt;30,FK14,((IF(V14&gt;30,1,IF(V14&gt;25,2,IF(V14&gt;20,3,IF(V14&gt;15,4,IF(V14&gt;=0,5,0))))))+(IF(U14&gt;6,1,IF(U14&gt;5.5,2,IF(U14&gt;5,3,IF(U14&gt;4.5,4,IF(U14&gt;=0,5,0)))))))/2),IF(FC14+F14&lt;30,FK14,((IF(V14&gt;30,1,IF(V14&gt;25,2,IF(V14&gt;20,3,IF(V14&gt;15,4,IF(V14&gt;=0,5,0))))))+(IF(U14&gt;6,1,IF(U14&gt;5.5,2,IF(U14&gt;5,3,IF(U14&gt;4.5,4,IF(U14&gt;=0,5,0)))))))/2))</f>
        <v>0</v>
      </c>
      <c r="X14" s="122"/>
      <c r="Y14" s="296"/>
      <c r="Z14" s="171"/>
      <c r="AA14" s="171"/>
      <c r="AB14" s="171"/>
      <c r="AC14" s="319"/>
      <c r="AD14" s="296"/>
      <c r="AE14" s="171"/>
      <c r="AF14" s="171"/>
      <c r="AG14" s="171"/>
      <c r="AH14" s="319"/>
      <c r="AI14" s="296"/>
      <c r="AJ14" s="171"/>
      <c r="AK14" s="171"/>
      <c r="AL14" s="171"/>
      <c r="AM14" s="319"/>
      <c r="AN14" s="296"/>
      <c r="AO14" s="171"/>
      <c r="AP14" s="171"/>
      <c r="AQ14" s="171"/>
      <c r="AR14" s="319"/>
      <c r="AS14" s="296"/>
      <c r="AT14" s="171"/>
      <c r="AU14" s="171"/>
      <c r="AV14" s="171"/>
      <c r="AW14" s="319"/>
      <c r="AX14" s="296"/>
      <c r="AY14" s="171"/>
      <c r="AZ14" s="171"/>
      <c r="BA14" s="171"/>
      <c r="BB14" s="319"/>
      <c r="BC14" s="296"/>
      <c r="BD14" s="171"/>
      <c r="BE14" s="171"/>
      <c r="BF14" s="171"/>
      <c r="BG14" s="319"/>
      <c r="BH14" s="296"/>
      <c r="BI14" s="171"/>
      <c r="BJ14" s="171"/>
      <c r="BK14" s="171"/>
      <c r="BL14" s="319"/>
      <c r="BM14" s="296"/>
      <c r="BN14" s="171"/>
      <c r="BO14" s="171"/>
      <c r="BP14" s="171"/>
      <c r="BQ14" s="319"/>
      <c r="BR14" s="296">
        <v>7</v>
      </c>
      <c r="BS14" s="171">
        <v>1</v>
      </c>
      <c r="BT14" s="171">
        <v>54</v>
      </c>
      <c r="BU14" s="171">
        <v>0</v>
      </c>
      <c r="BV14" s="319"/>
      <c r="BW14" s="296">
        <v>3</v>
      </c>
      <c r="BX14" s="171">
        <v>0</v>
      </c>
      <c r="BY14" s="171">
        <v>22</v>
      </c>
      <c r="BZ14" s="171">
        <v>0</v>
      </c>
      <c r="CA14" s="319"/>
      <c r="CB14" s="296">
        <v>8</v>
      </c>
      <c r="CC14" s="171">
        <v>0</v>
      </c>
      <c r="CD14" s="171">
        <v>45</v>
      </c>
      <c r="CE14" s="171">
        <v>2</v>
      </c>
      <c r="CF14" s="319"/>
      <c r="CG14" s="296"/>
      <c r="CH14" s="171"/>
      <c r="CI14" s="171"/>
      <c r="CJ14" s="171"/>
      <c r="CK14" s="319"/>
      <c r="CL14" s="296">
        <v>5</v>
      </c>
      <c r="CM14" s="171">
        <v>1</v>
      </c>
      <c r="CN14" s="171">
        <v>16</v>
      </c>
      <c r="CO14" s="171">
        <v>0</v>
      </c>
      <c r="CP14" s="319"/>
      <c r="CQ14" s="296"/>
      <c r="CR14" s="171"/>
      <c r="CS14" s="171"/>
      <c r="CT14" s="171"/>
      <c r="CU14" s="319"/>
      <c r="CV14" s="296">
        <v>4</v>
      </c>
      <c r="CW14" s="171">
        <v>0</v>
      </c>
      <c r="CX14" s="171">
        <v>16</v>
      </c>
      <c r="CY14" s="171">
        <v>2</v>
      </c>
      <c r="CZ14" s="319"/>
      <c r="DA14" s="296"/>
      <c r="DB14" s="171"/>
      <c r="DC14" s="171"/>
      <c r="DD14" s="171"/>
      <c r="DE14" s="319"/>
      <c r="DF14" s="296"/>
      <c r="DG14" s="171"/>
      <c r="DH14" s="171"/>
      <c r="DI14" s="171"/>
      <c r="DJ14" s="319"/>
      <c r="DK14" s="296"/>
      <c r="DL14" s="171"/>
      <c r="DM14" s="171"/>
      <c r="DN14" s="171"/>
      <c r="DO14" s="319"/>
      <c r="DP14" s="296"/>
      <c r="DQ14" s="171"/>
      <c r="DR14" s="171"/>
      <c r="DS14" s="171"/>
      <c r="DT14" s="319"/>
      <c r="DU14" s="320"/>
      <c r="DV14" s="154"/>
      <c r="DW14" s="154"/>
      <c r="DX14" s="154"/>
      <c r="DY14" s="319"/>
      <c r="DZ14" s="320"/>
      <c r="EA14" s="154"/>
      <c r="EB14" s="154"/>
      <c r="EC14" s="154"/>
      <c r="ED14" s="313"/>
      <c r="EE14" s="307"/>
      <c r="EF14" s="307"/>
      <c r="EG14" s="307"/>
      <c r="EH14" s="307"/>
      <c r="EI14" s="313"/>
      <c r="EJ14" s="307"/>
      <c r="EK14" s="307"/>
      <c r="EL14" s="307"/>
      <c r="EM14" s="307"/>
      <c r="EN14" s="313"/>
      <c r="EO14" s="307"/>
      <c r="EP14" s="307"/>
      <c r="EQ14" s="307"/>
      <c r="ER14" s="307"/>
      <c r="ES14" s="313"/>
      <c r="ET14" s="307"/>
      <c r="EU14" s="307"/>
      <c r="EV14" s="307"/>
      <c r="EW14" s="307"/>
      <c r="FB14" s="132"/>
      <c r="FC14" s="261"/>
      <c r="FD14" s="132"/>
      <c r="FE14" s="132"/>
      <c r="FF14" s="132"/>
      <c r="FG14" s="315"/>
      <c r="FH14" s="315"/>
      <c r="FI14" s="317"/>
      <c r="FJ14" s="119"/>
      <c r="FK14" s="135"/>
      <c r="FL14" s="310"/>
      <c r="FM14" s="310"/>
      <c r="FN14" s="310"/>
      <c r="FO14" s="310"/>
      <c r="FP14" s="310"/>
      <c r="FQ14" s="310"/>
      <c r="FR14" s="310"/>
      <c r="FS14" s="310"/>
      <c r="FT14" s="310"/>
      <c r="FU14" s="126"/>
      <c r="FV14" s="126"/>
      <c r="FW14" s="126"/>
      <c r="FX14" s="126"/>
      <c r="FY14" s="126"/>
      <c r="FZ14" s="126"/>
      <c r="GA14" s="126"/>
      <c r="GB14" s="126"/>
      <c r="GC14" s="126"/>
      <c r="GD14" s="126"/>
    </row>
    <row r="15" spans="1:187" s="118" customFormat="1" ht="13.5" customHeight="1" x14ac:dyDescent="0.2">
      <c r="B15" s="158" t="s">
        <v>215</v>
      </c>
      <c r="C15" s="159" t="s">
        <v>189</v>
      </c>
      <c r="D15" s="170">
        <f>IF(ISNA(VLOOKUP($B15,Batting!$B$6:$D$41,3,FALSE)),0,(VLOOKUP($B15,Batting!$B$6:$D$41,3,FALSE)))</f>
        <v>2</v>
      </c>
      <c r="E15" s="171">
        <f t="shared" si="1"/>
        <v>2</v>
      </c>
      <c r="F15" s="175">
        <f t="shared" si="2"/>
        <v>15.4</v>
      </c>
      <c r="G15" s="176">
        <f t="shared" si="3"/>
        <v>3</v>
      </c>
      <c r="H15" s="176">
        <f t="shared" si="4"/>
        <v>59</v>
      </c>
      <c r="I15" s="176">
        <f t="shared" si="5"/>
        <v>3</v>
      </c>
      <c r="J15" s="175">
        <f t="shared" si="6"/>
        <v>5.1333333333333337</v>
      </c>
      <c r="K15" s="175">
        <f t="shared" si="7"/>
        <v>3.831168831168831</v>
      </c>
      <c r="L15" s="344">
        <f t="shared" si="8"/>
        <v>19.666666666666668</v>
      </c>
      <c r="M15" s="134"/>
      <c r="N15" s="294"/>
      <c r="O15" s="171"/>
      <c r="P15" s="171"/>
      <c r="Q15" s="176"/>
      <c r="R15" s="124"/>
      <c r="S15" s="163">
        <f t="shared" si="9"/>
        <v>48.2</v>
      </c>
      <c r="T15" s="134"/>
      <c r="U15" s="294">
        <f t="shared" si="10"/>
        <v>3.831168831168831</v>
      </c>
      <c r="V15" s="294">
        <f t="shared" si="11"/>
        <v>19.666666666666668</v>
      </c>
      <c r="W15" s="177">
        <f t="shared" si="12"/>
        <v>0</v>
      </c>
      <c r="X15" s="122"/>
      <c r="Y15" s="296"/>
      <c r="Z15" s="171"/>
      <c r="AA15" s="171"/>
      <c r="AB15" s="171"/>
      <c r="AC15" s="319"/>
      <c r="AD15" s="296"/>
      <c r="AE15" s="171"/>
      <c r="AF15" s="171"/>
      <c r="AG15" s="171"/>
      <c r="AH15" s="319"/>
      <c r="AI15" s="296"/>
      <c r="AJ15" s="171"/>
      <c r="AK15" s="171"/>
      <c r="AL15" s="171"/>
      <c r="AM15" s="319"/>
      <c r="AN15" s="296"/>
      <c r="AO15" s="171"/>
      <c r="AP15" s="171"/>
      <c r="AQ15" s="171"/>
      <c r="AR15" s="319"/>
      <c r="AS15" s="296">
        <v>8</v>
      </c>
      <c r="AT15" s="171">
        <v>0</v>
      </c>
      <c r="AU15" s="171">
        <v>54</v>
      </c>
      <c r="AV15" s="171">
        <v>2</v>
      </c>
      <c r="AW15" s="319"/>
      <c r="AX15" s="296"/>
      <c r="AY15" s="171"/>
      <c r="AZ15" s="171"/>
      <c r="BA15" s="171"/>
      <c r="BB15" s="319"/>
      <c r="BC15" s="296">
        <v>7.4</v>
      </c>
      <c r="BD15" s="171">
        <v>3</v>
      </c>
      <c r="BE15" s="171">
        <v>5</v>
      </c>
      <c r="BF15" s="171">
        <v>1</v>
      </c>
      <c r="BG15" s="319"/>
      <c r="BH15" s="296"/>
      <c r="BI15" s="171"/>
      <c r="BJ15" s="171"/>
      <c r="BK15" s="171"/>
      <c r="BL15" s="319"/>
      <c r="BM15" s="296"/>
      <c r="BN15" s="171"/>
      <c r="BO15" s="171"/>
      <c r="BP15" s="171"/>
      <c r="BQ15" s="319"/>
      <c r="BR15" s="296"/>
      <c r="BS15" s="171"/>
      <c r="BT15" s="171"/>
      <c r="BU15" s="171"/>
      <c r="BV15" s="319"/>
      <c r="BW15" s="296"/>
      <c r="BX15" s="171"/>
      <c r="BY15" s="171"/>
      <c r="BZ15" s="171"/>
      <c r="CA15" s="319"/>
      <c r="CB15" s="296"/>
      <c r="CC15" s="171"/>
      <c r="CD15" s="171"/>
      <c r="CE15" s="171"/>
      <c r="CF15" s="319"/>
      <c r="CG15" s="296"/>
      <c r="CH15" s="171"/>
      <c r="CI15" s="171"/>
      <c r="CJ15" s="171"/>
      <c r="CK15" s="319"/>
      <c r="CL15" s="296"/>
      <c r="CM15" s="171"/>
      <c r="CN15" s="171"/>
      <c r="CO15" s="171"/>
      <c r="CP15" s="319"/>
      <c r="CQ15" s="296"/>
      <c r="CR15" s="171"/>
      <c r="CS15" s="171"/>
      <c r="CT15" s="171"/>
      <c r="CU15" s="319"/>
      <c r="CV15" s="296"/>
      <c r="CW15" s="171"/>
      <c r="CX15" s="171"/>
      <c r="CY15" s="171"/>
      <c r="CZ15" s="319"/>
      <c r="DA15" s="296"/>
      <c r="DB15" s="171"/>
      <c r="DC15" s="171"/>
      <c r="DD15" s="171"/>
      <c r="DE15" s="319"/>
      <c r="DF15" s="296"/>
      <c r="DG15" s="171"/>
      <c r="DH15" s="171"/>
      <c r="DI15" s="171"/>
      <c r="DJ15" s="319"/>
      <c r="DK15" s="296"/>
      <c r="DL15" s="171"/>
      <c r="DM15" s="171"/>
      <c r="DN15" s="171"/>
      <c r="DO15" s="319"/>
      <c r="DP15" s="296"/>
      <c r="DQ15" s="171"/>
      <c r="DR15" s="171"/>
      <c r="DS15" s="171"/>
      <c r="DT15" s="319"/>
      <c r="DU15" s="320"/>
      <c r="DV15" s="154"/>
      <c r="DW15" s="154"/>
      <c r="DX15" s="154"/>
      <c r="DY15" s="319"/>
      <c r="DZ15" s="320"/>
      <c r="EA15" s="154"/>
      <c r="EB15" s="154"/>
      <c r="EC15" s="154"/>
      <c r="ED15" s="313"/>
      <c r="EE15" s="307"/>
      <c r="EF15" s="307"/>
      <c r="EG15" s="307"/>
      <c r="EH15" s="307"/>
      <c r="EI15" s="313"/>
      <c r="EJ15" s="307"/>
      <c r="EK15" s="307"/>
      <c r="EL15" s="307"/>
      <c r="EM15" s="307"/>
      <c r="EN15" s="313"/>
      <c r="EO15" s="307"/>
      <c r="EP15" s="307"/>
      <c r="EQ15" s="307"/>
      <c r="ER15" s="307"/>
      <c r="ES15" s="313"/>
      <c r="ET15" s="307"/>
      <c r="EU15" s="307"/>
      <c r="EV15" s="307"/>
      <c r="EW15" s="307"/>
      <c r="FB15" s="132"/>
      <c r="FC15" s="261"/>
      <c r="FD15" s="132"/>
      <c r="FE15" s="132"/>
      <c r="FF15" s="132"/>
      <c r="FG15" s="315"/>
      <c r="FH15" s="315"/>
      <c r="FI15" s="317"/>
      <c r="FJ15" s="119"/>
      <c r="FK15" s="271"/>
      <c r="FL15" s="310"/>
      <c r="FM15" s="310"/>
      <c r="FN15" s="310"/>
      <c r="FO15" s="310"/>
      <c r="FP15" s="310"/>
      <c r="FQ15" s="310"/>
      <c r="FR15" s="310"/>
      <c r="FS15" s="310"/>
      <c r="FT15" s="310"/>
      <c r="FU15" s="126"/>
      <c r="FV15" s="126"/>
      <c r="FW15" s="126"/>
      <c r="FX15" s="126"/>
      <c r="FY15" s="126"/>
      <c r="FZ15" s="126"/>
      <c r="GA15" s="126"/>
      <c r="GB15" s="126"/>
      <c r="GC15" s="126"/>
      <c r="GD15" s="126"/>
    </row>
    <row r="16" spans="1:187" s="118" customFormat="1" ht="13.5" customHeight="1" x14ac:dyDescent="0.2">
      <c r="B16" s="158" t="s">
        <v>138</v>
      </c>
      <c r="C16" s="159" t="s">
        <v>193</v>
      </c>
      <c r="D16" s="170">
        <f>IF(ISNA(VLOOKUP($B16,Batting!$B$6:$D$41,3,FALSE)),0,(VLOOKUP($B16,Batting!$B$6:$D$41,3,FALSE)))</f>
        <v>2</v>
      </c>
      <c r="E16" s="171">
        <f t="shared" si="1"/>
        <v>2</v>
      </c>
      <c r="F16" s="175">
        <f t="shared" si="2"/>
        <v>15</v>
      </c>
      <c r="G16" s="176">
        <f t="shared" si="3"/>
        <v>1</v>
      </c>
      <c r="H16" s="176">
        <f t="shared" si="4"/>
        <v>88</v>
      </c>
      <c r="I16" s="176">
        <f t="shared" si="5"/>
        <v>2</v>
      </c>
      <c r="J16" s="175">
        <f t="shared" si="6"/>
        <v>7.5</v>
      </c>
      <c r="K16" s="175">
        <f t="shared" si="7"/>
        <v>5.8666666666666663</v>
      </c>
      <c r="L16" s="344">
        <f t="shared" si="8"/>
        <v>44</v>
      </c>
      <c r="M16" s="134"/>
      <c r="N16" s="296"/>
      <c r="O16" s="171"/>
      <c r="P16" s="171"/>
      <c r="Q16" s="171"/>
      <c r="R16" s="124"/>
      <c r="S16" s="163">
        <f t="shared" si="9"/>
        <v>22.4</v>
      </c>
      <c r="T16" s="134"/>
      <c r="U16" s="294">
        <f t="shared" si="10"/>
        <v>4.2505694760820045</v>
      </c>
      <c r="V16" s="294">
        <f t="shared" si="11"/>
        <v>17.771428571428572</v>
      </c>
      <c r="W16" s="177">
        <f t="shared" si="12"/>
        <v>4.5</v>
      </c>
      <c r="X16" s="122"/>
      <c r="Y16" s="296"/>
      <c r="Z16" s="171"/>
      <c r="AA16" s="171"/>
      <c r="AB16" s="171"/>
      <c r="AC16" s="319"/>
      <c r="AD16" s="296"/>
      <c r="AE16" s="171"/>
      <c r="AF16" s="171"/>
      <c r="AG16" s="171"/>
      <c r="AH16" s="319"/>
      <c r="AI16" s="296"/>
      <c r="AJ16" s="171"/>
      <c r="AK16" s="171"/>
      <c r="AL16" s="171"/>
      <c r="AM16" s="319"/>
      <c r="AN16" s="296"/>
      <c r="AO16" s="171"/>
      <c r="AP16" s="171"/>
      <c r="AQ16" s="171"/>
      <c r="AR16" s="319"/>
      <c r="AS16" s="296">
        <v>7</v>
      </c>
      <c r="AT16" s="171">
        <v>0</v>
      </c>
      <c r="AU16" s="171">
        <v>55</v>
      </c>
      <c r="AV16" s="171">
        <v>0</v>
      </c>
      <c r="AW16" s="319"/>
      <c r="AX16" s="296"/>
      <c r="AY16" s="171"/>
      <c r="AZ16" s="171"/>
      <c r="BA16" s="171"/>
      <c r="BB16" s="319"/>
      <c r="BC16" s="296"/>
      <c r="BD16" s="171"/>
      <c r="BE16" s="171"/>
      <c r="BF16" s="171"/>
      <c r="BG16" s="319"/>
      <c r="BH16" s="296"/>
      <c r="BI16" s="171"/>
      <c r="BJ16" s="171"/>
      <c r="BK16" s="171"/>
      <c r="BL16" s="319"/>
      <c r="BM16" s="296"/>
      <c r="BN16" s="171"/>
      <c r="BO16" s="171"/>
      <c r="BP16" s="171"/>
      <c r="BQ16" s="319"/>
      <c r="BR16" s="296">
        <v>8</v>
      </c>
      <c r="BS16" s="171">
        <v>1</v>
      </c>
      <c r="BT16" s="171">
        <v>33</v>
      </c>
      <c r="BU16" s="171">
        <v>2</v>
      </c>
      <c r="BV16" s="319"/>
      <c r="BW16" s="296"/>
      <c r="BX16" s="171"/>
      <c r="BY16" s="171"/>
      <c r="BZ16" s="171"/>
      <c r="CA16" s="319"/>
      <c r="CB16" s="296"/>
      <c r="CC16" s="171"/>
      <c r="CD16" s="171"/>
      <c r="CE16" s="171"/>
      <c r="CF16" s="319"/>
      <c r="CG16" s="296"/>
      <c r="CH16" s="171"/>
      <c r="CI16" s="171"/>
      <c r="CJ16" s="171"/>
      <c r="CK16" s="319"/>
      <c r="CL16" s="296"/>
      <c r="CM16" s="171"/>
      <c r="CN16" s="171"/>
      <c r="CO16" s="171"/>
      <c r="CP16" s="319"/>
      <c r="CQ16" s="296"/>
      <c r="CR16" s="171"/>
      <c r="CS16" s="171"/>
      <c r="CT16" s="171"/>
      <c r="CU16" s="319"/>
      <c r="CV16" s="296"/>
      <c r="CW16" s="171"/>
      <c r="CX16" s="171"/>
      <c r="CY16" s="171"/>
      <c r="CZ16" s="319"/>
      <c r="DA16" s="296"/>
      <c r="DB16" s="171"/>
      <c r="DC16" s="171"/>
      <c r="DD16" s="171"/>
      <c r="DE16" s="319"/>
      <c r="DF16" s="296"/>
      <c r="DG16" s="171"/>
      <c r="DH16" s="171"/>
      <c r="DI16" s="171"/>
      <c r="DJ16" s="319"/>
      <c r="DK16" s="296"/>
      <c r="DL16" s="171"/>
      <c r="DM16" s="171"/>
      <c r="DN16" s="171"/>
      <c r="DO16" s="319"/>
      <c r="DP16" s="296"/>
      <c r="DQ16" s="171"/>
      <c r="DR16" s="171"/>
      <c r="DS16" s="171"/>
      <c r="DT16" s="319"/>
      <c r="DU16" s="320"/>
      <c r="DV16" s="154"/>
      <c r="DW16" s="154"/>
      <c r="DX16" s="154"/>
      <c r="DY16" s="319"/>
      <c r="DZ16" s="320"/>
      <c r="EA16" s="154"/>
      <c r="EB16" s="154"/>
      <c r="EC16" s="154"/>
      <c r="ED16" s="313"/>
      <c r="EE16" s="307"/>
      <c r="EF16" s="307"/>
      <c r="EG16" s="307"/>
      <c r="EH16" s="307"/>
      <c r="EI16" s="313"/>
      <c r="EJ16" s="307"/>
      <c r="EK16" s="307"/>
      <c r="EL16" s="307"/>
      <c r="EM16" s="307"/>
      <c r="EN16" s="313"/>
      <c r="EO16" s="307"/>
      <c r="EP16" s="307"/>
      <c r="EQ16" s="307"/>
      <c r="ER16" s="307"/>
      <c r="ES16" s="313"/>
      <c r="ET16" s="307"/>
      <c r="EU16" s="307"/>
      <c r="EV16" s="307"/>
      <c r="EW16" s="307"/>
      <c r="FB16" s="132">
        <v>25</v>
      </c>
      <c r="FC16" s="261">
        <v>131.33333333333334</v>
      </c>
      <c r="FD16" s="132">
        <v>16</v>
      </c>
      <c r="FE16" s="132">
        <v>534</v>
      </c>
      <c r="FF16" s="132">
        <v>33</v>
      </c>
      <c r="FG16" s="315">
        <f>IF(FF16=0,"-",FC16/FF16)</f>
        <v>3.9797979797979801</v>
      </c>
      <c r="FH16" s="315">
        <f>IF(FC16=0,"-",FE16/FC16)</f>
        <v>4.0659898477157359</v>
      </c>
      <c r="FI16" s="317">
        <f>IF(FF16=0,"-",FE16/FF16)</f>
        <v>16.181818181818183</v>
      </c>
      <c r="FJ16" s="119"/>
      <c r="FK16" s="135"/>
      <c r="FL16" s="310"/>
      <c r="FM16" s="310"/>
      <c r="FN16" s="310"/>
      <c r="FO16" s="310"/>
      <c r="FP16" s="310"/>
      <c r="FQ16" s="310"/>
      <c r="FR16" s="310"/>
      <c r="FS16" s="310"/>
      <c r="FT16" s="310"/>
      <c r="FU16" s="126"/>
      <c r="FV16" s="126"/>
      <c r="FW16" s="126"/>
      <c r="FX16" s="126"/>
      <c r="FY16" s="126"/>
      <c r="FZ16" s="126"/>
      <c r="GA16" s="126"/>
      <c r="GB16" s="126"/>
      <c r="GC16" s="126"/>
      <c r="GD16" s="126"/>
    </row>
    <row r="17" spans="2:186" s="118" customFormat="1" ht="13.5" customHeight="1" x14ac:dyDescent="0.2">
      <c r="B17" s="158" t="s">
        <v>37</v>
      </c>
      <c r="C17" s="159" t="s">
        <v>190</v>
      </c>
      <c r="D17" s="170">
        <f>IF(ISNA(VLOOKUP($B17,Batting!$B$6:$D$41,3,FALSE)),0,(VLOOKUP($B17,Batting!$B$6:$D$41,3,FALSE)))</f>
        <v>2</v>
      </c>
      <c r="E17" s="171">
        <f t="shared" si="1"/>
        <v>2</v>
      </c>
      <c r="F17" s="175">
        <f t="shared" si="2"/>
        <v>14</v>
      </c>
      <c r="G17" s="176">
        <f t="shared" si="3"/>
        <v>2</v>
      </c>
      <c r="H17" s="176">
        <f t="shared" si="4"/>
        <v>59</v>
      </c>
      <c r="I17" s="176">
        <f t="shared" si="5"/>
        <v>3</v>
      </c>
      <c r="J17" s="175">
        <f t="shared" si="6"/>
        <v>4.666666666666667</v>
      </c>
      <c r="K17" s="175">
        <f t="shared" si="7"/>
        <v>4.2142857142857144</v>
      </c>
      <c r="L17" s="344">
        <f t="shared" si="8"/>
        <v>19.666666666666668</v>
      </c>
      <c r="M17" s="134"/>
      <c r="N17" s="296"/>
      <c r="O17" s="171"/>
      <c r="P17" s="171"/>
      <c r="Q17" s="171"/>
      <c r="R17" s="124"/>
      <c r="S17" s="163">
        <f t="shared" si="9"/>
        <v>48.2</v>
      </c>
      <c r="T17" s="134"/>
      <c r="U17" s="294">
        <f t="shared" si="10"/>
        <v>4.2142857142857144</v>
      </c>
      <c r="V17" s="294">
        <f t="shared" si="11"/>
        <v>19.666666666666668</v>
      </c>
      <c r="W17" s="177">
        <f t="shared" si="12"/>
        <v>0</v>
      </c>
      <c r="X17" s="122"/>
      <c r="Y17" s="296"/>
      <c r="Z17" s="171"/>
      <c r="AA17" s="171"/>
      <c r="AB17" s="171"/>
      <c r="AC17" s="319"/>
      <c r="AD17" s="296"/>
      <c r="AE17" s="171"/>
      <c r="AF17" s="171"/>
      <c r="AG17" s="171"/>
      <c r="AH17" s="319"/>
      <c r="AI17" s="296">
        <v>6</v>
      </c>
      <c r="AJ17" s="171">
        <v>2</v>
      </c>
      <c r="AK17" s="171">
        <v>27</v>
      </c>
      <c r="AL17" s="171">
        <v>2</v>
      </c>
      <c r="AM17" s="319"/>
      <c r="AN17" s="296">
        <v>8</v>
      </c>
      <c r="AO17" s="171">
        <v>0</v>
      </c>
      <c r="AP17" s="171">
        <v>32</v>
      </c>
      <c r="AQ17" s="171">
        <v>1</v>
      </c>
      <c r="AR17" s="319"/>
      <c r="AS17" s="296"/>
      <c r="AT17" s="171"/>
      <c r="AU17" s="171"/>
      <c r="AV17" s="171"/>
      <c r="AW17" s="319"/>
      <c r="AX17" s="296"/>
      <c r="AY17" s="171"/>
      <c r="AZ17" s="171"/>
      <c r="BA17" s="171"/>
      <c r="BB17" s="319"/>
      <c r="BC17" s="296"/>
      <c r="BD17" s="171"/>
      <c r="BE17" s="171"/>
      <c r="BF17" s="171"/>
      <c r="BG17" s="319"/>
      <c r="BH17" s="296"/>
      <c r="BI17" s="171"/>
      <c r="BJ17" s="171"/>
      <c r="BK17" s="171"/>
      <c r="BL17" s="319"/>
      <c r="BM17" s="296"/>
      <c r="BN17" s="171"/>
      <c r="BO17" s="171"/>
      <c r="BP17" s="171"/>
      <c r="BQ17" s="319"/>
      <c r="BR17" s="296"/>
      <c r="BS17" s="171"/>
      <c r="BT17" s="171"/>
      <c r="BU17" s="171"/>
      <c r="BV17" s="319"/>
      <c r="BW17" s="296"/>
      <c r="BX17" s="171"/>
      <c r="BY17" s="171"/>
      <c r="BZ17" s="171"/>
      <c r="CA17" s="319"/>
      <c r="CB17" s="296"/>
      <c r="CC17" s="171"/>
      <c r="CD17" s="171"/>
      <c r="CE17" s="171"/>
      <c r="CF17" s="319"/>
      <c r="CG17" s="296"/>
      <c r="CH17" s="171"/>
      <c r="CI17" s="171"/>
      <c r="CJ17" s="171"/>
      <c r="CK17" s="319"/>
      <c r="CL17" s="296"/>
      <c r="CM17" s="171"/>
      <c r="CN17" s="171"/>
      <c r="CO17" s="171"/>
      <c r="CP17" s="319"/>
      <c r="CQ17" s="296"/>
      <c r="CR17" s="171"/>
      <c r="CS17" s="171"/>
      <c r="CT17" s="171"/>
      <c r="CU17" s="319"/>
      <c r="CV17" s="296"/>
      <c r="CW17" s="171"/>
      <c r="CX17" s="171"/>
      <c r="CY17" s="171"/>
      <c r="CZ17" s="319"/>
      <c r="DA17" s="296"/>
      <c r="DB17" s="171"/>
      <c r="DC17" s="171"/>
      <c r="DD17" s="171"/>
      <c r="DE17" s="319"/>
      <c r="DF17" s="296"/>
      <c r="DG17" s="171"/>
      <c r="DH17" s="171"/>
      <c r="DI17" s="171"/>
      <c r="DJ17" s="319"/>
      <c r="DK17" s="296"/>
      <c r="DL17" s="171"/>
      <c r="DM17" s="171"/>
      <c r="DN17" s="171"/>
      <c r="DO17" s="319"/>
      <c r="DP17" s="296"/>
      <c r="DQ17" s="171"/>
      <c r="DR17" s="171"/>
      <c r="DS17" s="171"/>
      <c r="DT17" s="319"/>
      <c r="DU17" s="320"/>
      <c r="DV17" s="154"/>
      <c r="DW17" s="154"/>
      <c r="DX17" s="154"/>
      <c r="DY17" s="319"/>
      <c r="DZ17" s="320"/>
      <c r="EA17" s="154"/>
      <c r="EB17" s="154"/>
      <c r="EC17" s="154"/>
      <c r="ED17" s="313"/>
      <c r="EE17" s="307"/>
      <c r="EF17" s="307"/>
      <c r="EG17" s="307"/>
      <c r="EH17" s="307"/>
      <c r="EI17" s="313"/>
      <c r="EJ17" s="307"/>
      <c r="EK17" s="307"/>
      <c r="EL17" s="307"/>
      <c r="EM17" s="307"/>
      <c r="EN17" s="313"/>
      <c r="EO17" s="307"/>
      <c r="EP17" s="307"/>
      <c r="EQ17" s="307"/>
      <c r="ER17" s="307"/>
      <c r="ES17" s="313"/>
      <c r="ET17" s="307"/>
      <c r="EU17" s="307"/>
      <c r="EV17" s="307"/>
      <c r="EW17" s="307"/>
      <c r="FB17" s="132"/>
      <c r="FC17" s="261"/>
      <c r="FD17" s="132"/>
      <c r="FE17" s="132"/>
      <c r="FF17" s="132"/>
      <c r="FG17" s="315"/>
      <c r="FH17" s="315"/>
      <c r="FI17" s="317"/>
      <c r="FK17" s="271"/>
      <c r="FL17" s="310"/>
      <c r="FM17" s="310"/>
      <c r="FN17" s="310"/>
      <c r="FO17" s="310"/>
      <c r="FP17" s="310"/>
      <c r="FQ17" s="310"/>
      <c r="FR17" s="310"/>
      <c r="FS17" s="310"/>
      <c r="FT17" s="310"/>
      <c r="FU17" s="126"/>
      <c r="FV17" s="126"/>
      <c r="FW17" s="126"/>
      <c r="FX17" s="126"/>
      <c r="FY17" s="126"/>
      <c r="FZ17" s="126"/>
      <c r="GA17" s="126"/>
      <c r="GB17" s="126"/>
      <c r="GC17" s="126"/>
      <c r="GD17" s="126"/>
    </row>
    <row r="18" spans="2:186" s="118" customFormat="1" ht="13.5" customHeight="1" x14ac:dyDescent="0.2">
      <c r="B18" s="158" t="s">
        <v>283</v>
      </c>
      <c r="C18" s="159" t="s">
        <v>188</v>
      </c>
      <c r="D18" s="170">
        <f>IF(ISNA(VLOOKUP($B18,Batting!$B$6:$D$41,3,FALSE)),0,(VLOOKUP($B18,Batting!$B$6:$D$41,3,FALSE)))</f>
        <v>2</v>
      </c>
      <c r="E18" s="171">
        <f t="shared" si="1"/>
        <v>2</v>
      </c>
      <c r="F18" s="175">
        <f t="shared" si="2"/>
        <v>12.5</v>
      </c>
      <c r="G18" s="176">
        <f t="shared" si="3"/>
        <v>0</v>
      </c>
      <c r="H18" s="176">
        <f t="shared" si="4"/>
        <v>78</v>
      </c>
      <c r="I18" s="176">
        <f t="shared" si="5"/>
        <v>3</v>
      </c>
      <c r="J18" s="175">
        <f t="shared" si="6"/>
        <v>4.166666666666667</v>
      </c>
      <c r="K18" s="175">
        <f t="shared" si="7"/>
        <v>6.24</v>
      </c>
      <c r="L18" s="344">
        <f t="shared" si="8"/>
        <v>26</v>
      </c>
      <c r="M18" s="134"/>
      <c r="N18" s="296"/>
      <c r="O18" s="171"/>
      <c r="P18" s="171"/>
      <c r="Q18" s="171"/>
      <c r="R18" s="124"/>
      <c r="S18" s="163">
        <f t="shared" si="9"/>
        <v>44.4</v>
      </c>
      <c r="T18" s="134"/>
      <c r="U18" s="294">
        <f t="shared" si="10"/>
        <v>6.24</v>
      </c>
      <c r="V18" s="294">
        <f t="shared" si="11"/>
        <v>26</v>
      </c>
      <c r="W18" s="177">
        <f t="shared" si="12"/>
        <v>0</v>
      </c>
      <c r="X18" s="122"/>
      <c r="Y18" s="296"/>
      <c r="Z18" s="171"/>
      <c r="AA18" s="171"/>
      <c r="AB18" s="171"/>
      <c r="AC18" s="319"/>
      <c r="AD18" s="296"/>
      <c r="AE18" s="171"/>
      <c r="AF18" s="171"/>
      <c r="AG18" s="171"/>
      <c r="AH18" s="319"/>
      <c r="AI18" s="296"/>
      <c r="AJ18" s="171"/>
      <c r="AK18" s="171"/>
      <c r="AL18" s="171"/>
      <c r="AM18" s="319"/>
      <c r="AN18" s="296"/>
      <c r="AO18" s="171"/>
      <c r="AP18" s="171"/>
      <c r="AQ18" s="171"/>
      <c r="AR18" s="319"/>
      <c r="AS18" s="296"/>
      <c r="AT18" s="171"/>
      <c r="AU18" s="171"/>
      <c r="AV18" s="171"/>
      <c r="AW18" s="319"/>
      <c r="AX18" s="296"/>
      <c r="AY18" s="171"/>
      <c r="AZ18" s="171"/>
      <c r="BA18" s="171"/>
      <c r="BB18" s="319"/>
      <c r="BC18" s="296"/>
      <c r="BD18" s="171"/>
      <c r="BE18" s="171"/>
      <c r="BF18" s="171"/>
      <c r="BG18" s="319"/>
      <c r="BH18" s="296"/>
      <c r="BI18" s="171"/>
      <c r="BJ18" s="171"/>
      <c r="BK18" s="171"/>
      <c r="BL18" s="319"/>
      <c r="BM18" s="296"/>
      <c r="BN18" s="171"/>
      <c r="BO18" s="171"/>
      <c r="BP18" s="171"/>
      <c r="BQ18" s="319"/>
      <c r="BR18" s="296"/>
      <c r="BS18" s="171"/>
      <c r="BT18" s="171"/>
      <c r="BU18" s="171"/>
      <c r="BV18" s="319"/>
      <c r="BW18" s="296"/>
      <c r="BX18" s="171"/>
      <c r="BY18" s="171"/>
      <c r="BZ18" s="171"/>
      <c r="CA18" s="319"/>
      <c r="CB18" s="296">
        <v>8</v>
      </c>
      <c r="CC18" s="171">
        <v>0</v>
      </c>
      <c r="CD18" s="171">
        <v>44</v>
      </c>
      <c r="CE18" s="171">
        <v>2</v>
      </c>
      <c r="CF18" s="319"/>
      <c r="CG18" s="296"/>
      <c r="CH18" s="171"/>
      <c r="CI18" s="171"/>
      <c r="CJ18" s="171"/>
      <c r="CK18" s="319"/>
      <c r="CL18" s="296">
        <v>4.5</v>
      </c>
      <c r="CM18" s="171">
        <v>0</v>
      </c>
      <c r="CN18" s="171">
        <v>34</v>
      </c>
      <c r="CO18" s="171">
        <v>1</v>
      </c>
      <c r="CP18" s="319"/>
      <c r="CQ18" s="296"/>
      <c r="CR18" s="171"/>
      <c r="CS18" s="171"/>
      <c r="CT18" s="171"/>
      <c r="CU18" s="319"/>
      <c r="CV18" s="296"/>
      <c r="CW18" s="171"/>
      <c r="CX18" s="171"/>
      <c r="CY18" s="171"/>
      <c r="CZ18" s="319"/>
      <c r="DA18" s="296"/>
      <c r="DB18" s="171"/>
      <c r="DC18" s="171"/>
      <c r="DD18" s="171"/>
      <c r="DE18" s="319"/>
      <c r="DF18" s="296"/>
      <c r="DG18" s="171"/>
      <c r="DH18" s="171"/>
      <c r="DI18" s="171"/>
      <c r="DJ18" s="319"/>
      <c r="DK18" s="296"/>
      <c r="DL18" s="171"/>
      <c r="DM18" s="171"/>
      <c r="DN18" s="171"/>
      <c r="DO18" s="319"/>
      <c r="DP18" s="296"/>
      <c r="DQ18" s="171"/>
      <c r="DR18" s="171"/>
      <c r="DS18" s="171"/>
      <c r="DT18" s="319"/>
      <c r="DU18" s="320"/>
      <c r="DV18" s="154"/>
      <c r="DW18" s="154"/>
      <c r="DX18" s="154"/>
      <c r="DY18" s="319"/>
      <c r="DZ18" s="320"/>
      <c r="EA18" s="154"/>
      <c r="EB18" s="154"/>
      <c r="EC18" s="154"/>
      <c r="ED18" s="313"/>
      <c r="EE18" s="307"/>
      <c r="EF18" s="307"/>
      <c r="EG18" s="307"/>
      <c r="EH18" s="307"/>
      <c r="EI18" s="313"/>
      <c r="EJ18" s="307"/>
      <c r="EK18" s="307"/>
      <c r="EL18" s="307"/>
      <c r="EM18" s="307"/>
      <c r="EN18" s="313"/>
      <c r="EO18" s="307"/>
      <c r="EP18" s="307"/>
      <c r="EQ18" s="307"/>
      <c r="ER18" s="307"/>
      <c r="ES18" s="313"/>
      <c r="ET18" s="307"/>
      <c r="EU18" s="307"/>
      <c r="EV18" s="307"/>
      <c r="EW18" s="307"/>
      <c r="FB18" s="132"/>
      <c r="FC18" s="261"/>
      <c r="FD18" s="132"/>
      <c r="FE18" s="132"/>
      <c r="FF18" s="132"/>
      <c r="FG18" s="315"/>
      <c r="FH18" s="315"/>
      <c r="FI18" s="317"/>
      <c r="FJ18" s="119"/>
      <c r="FK18" s="271"/>
      <c r="FL18" s="310"/>
      <c r="FM18" s="310"/>
      <c r="FN18" s="310"/>
      <c r="FO18" s="310"/>
      <c r="FP18" s="310"/>
      <c r="FQ18" s="310"/>
      <c r="FR18" s="310"/>
      <c r="FS18" s="310"/>
      <c r="FT18" s="310"/>
      <c r="FU18" s="126"/>
      <c r="FV18" s="126"/>
      <c r="FW18" s="126"/>
      <c r="FX18" s="126"/>
      <c r="FY18" s="126"/>
      <c r="FZ18" s="126"/>
      <c r="GA18" s="126"/>
      <c r="GB18" s="126"/>
      <c r="GC18" s="126"/>
      <c r="GD18" s="126"/>
    </row>
    <row r="19" spans="2:186" s="118" customFormat="1" ht="13.5" customHeight="1" x14ac:dyDescent="0.2">
      <c r="B19" s="158" t="s">
        <v>273</v>
      </c>
      <c r="C19" s="159" t="s">
        <v>274</v>
      </c>
      <c r="D19" s="170">
        <f>IF(ISNA(VLOOKUP($B19,Batting!$B$6:$D$41,3,FALSE)),0,(VLOOKUP($B19,Batting!$B$6:$D$41,3,FALSE)))</f>
        <v>3</v>
      </c>
      <c r="E19" s="171">
        <f t="shared" si="1"/>
        <v>2</v>
      </c>
      <c r="F19" s="175">
        <f t="shared" si="2"/>
        <v>10</v>
      </c>
      <c r="G19" s="176">
        <f t="shared" si="3"/>
        <v>2</v>
      </c>
      <c r="H19" s="176">
        <f t="shared" si="4"/>
        <v>73</v>
      </c>
      <c r="I19" s="176">
        <f t="shared" si="5"/>
        <v>1</v>
      </c>
      <c r="J19" s="175">
        <f t="shared" si="6"/>
        <v>10</v>
      </c>
      <c r="K19" s="175">
        <f t="shared" si="7"/>
        <v>7.3</v>
      </c>
      <c r="L19" s="344">
        <f t="shared" si="8"/>
        <v>73</v>
      </c>
      <c r="M19" s="134"/>
      <c r="N19" s="296"/>
      <c r="O19" s="171"/>
      <c r="P19" s="171"/>
      <c r="Q19" s="171"/>
      <c r="R19" s="124"/>
      <c r="S19" s="163">
        <f t="shared" si="9"/>
        <v>5.4</v>
      </c>
      <c r="T19" s="134"/>
      <c r="U19" s="294">
        <f t="shared" si="10"/>
        <v>7.3</v>
      </c>
      <c r="V19" s="294">
        <f t="shared" si="11"/>
        <v>73</v>
      </c>
      <c r="W19" s="177">
        <f t="shared" si="12"/>
        <v>0</v>
      </c>
      <c r="X19" s="122"/>
      <c r="Y19" s="296"/>
      <c r="Z19" s="171"/>
      <c r="AA19" s="171"/>
      <c r="AB19" s="171"/>
      <c r="AC19" s="319"/>
      <c r="AD19" s="296"/>
      <c r="AE19" s="171"/>
      <c r="AF19" s="171"/>
      <c r="AG19" s="171"/>
      <c r="AH19" s="319"/>
      <c r="AI19" s="296"/>
      <c r="AJ19" s="171"/>
      <c r="AK19" s="171"/>
      <c r="AL19" s="171"/>
      <c r="AM19" s="319"/>
      <c r="AN19" s="296"/>
      <c r="AO19" s="171"/>
      <c r="AP19" s="171"/>
      <c r="AQ19" s="171"/>
      <c r="AR19" s="319"/>
      <c r="AS19" s="296"/>
      <c r="AT19" s="171"/>
      <c r="AU19" s="171"/>
      <c r="AV19" s="171"/>
      <c r="AW19" s="319"/>
      <c r="AX19" s="296"/>
      <c r="AY19" s="171"/>
      <c r="AZ19" s="171"/>
      <c r="BA19" s="171"/>
      <c r="BB19" s="319"/>
      <c r="BC19" s="296">
        <v>8</v>
      </c>
      <c r="BD19" s="171">
        <v>2</v>
      </c>
      <c r="BE19" s="171">
        <v>43</v>
      </c>
      <c r="BF19" s="171">
        <v>1</v>
      </c>
      <c r="BG19" s="319"/>
      <c r="BH19" s="296">
        <v>2</v>
      </c>
      <c r="BI19" s="171">
        <v>0</v>
      </c>
      <c r="BJ19" s="171">
        <v>30</v>
      </c>
      <c r="BK19" s="171">
        <v>0</v>
      </c>
      <c r="BL19" s="319"/>
      <c r="BM19" s="296"/>
      <c r="BN19" s="171"/>
      <c r="BO19" s="171"/>
      <c r="BP19" s="171"/>
      <c r="BQ19" s="319"/>
      <c r="BR19" s="296"/>
      <c r="BS19" s="171"/>
      <c r="BT19" s="171"/>
      <c r="BU19" s="171"/>
      <c r="BV19" s="319"/>
      <c r="BW19" s="296"/>
      <c r="BX19" s="171"/>
      <c r="BY19" s="171"/>
      <c r="BZ19" s="171"/>
      <c r="CA19" s="319"/>
      <c r="CB19" s="296"/>
      <c r="CC19" s="171"/>
      <c r="CD19" s="171"/>
      <c r="CE19" s="171"/>
      <c r="CF19" s="319"/>
      <c r="CG19" s="296"/>
      <c r="CH19" s="171"/>
      <c r="CI19" s="171"/>
      <c r="CJ19" s="171"/>
      <c r="CK19" s="319"/>
      <c r="CL19" s="296"/>
      <c r="CM19" s="171"/>
      <c r="CN19" s="171"/>
      <c r="CO19" s="171"/>
      <c r="CP19" s="319"/>
      <c r="CQ19" s="296"/>
      <c r="CR19" s="171"/>
      <c r="CS19" s="171"/>
      <c r="CT19" s="171"/>
      <c r="CU19" s="319"/>
      <c r="CV19" s="296"/>
      <c r="CW19" s="171"/>
      <c r="CX19" s="171"/>
      <c r="CY19" s="171"/>
      <c r="CZ19" s="319"/>
      <c r="DA19" s="296"/>
      <c r="DB19" s="171"/>
      <c r="DC19" s="171"/>
      <c r="DD19" s="171"/>
      <c r="DE19" s="319"/>
      <c r="DF19" s="296"/>
      <c r="DG19" s="171"/>
      <c r="DH19" s="171"/>
      <c r="DI19" s="171"/>
      <c r="DJ19" s="319"/>
      <c r="DK19" s="296"/>
      <c r="DL19" s="171"/>
      <c r="DM19" s="171"/>
      <c r="DN19" s="171"/>
      <c r="DO19" s="319"/>
      <c r="DP19" s="296"/>
      <c r="DQ19" s="171"/>
      <c r="DR19" s="171"/>
      <c r="DS19" s="171"/>
      <c r="DT19" s="319"/>
      <c r="DU19" s="320"/>
      <c r="DV19" s="154"/>
      <c r="DW19" s="154"/>
      <c r="DX19" s="154"/>
      <c r="DY19" s="319"/>
      <c r="DZ19" s="320"/>
      <c r="EA19" s="154"/>
      <c r="EB19" s="154"/>
      <c r="EC19" s="154"/>
      <c r="ED19" s="313"/>
      <c r="EE19" s="307"/>
      <c r="EF19" s="307"/>
      <c r="EG19" s="307"/>
      <c r="EH19" s="307"/>
      <c r="EI19" s="313"/>
      <c r="EJ19" s="307"/>
      <c r="EK19" s="307"/>
      <c r="EL19" s="307"/>
      <c r="EM19" s="307"/>
      <c r="EN19" s="313"/>
      <c r="EO19" s="307"/>
      <c r="EP19" s="307"/>
      <c r="EQ19" s="307"/>
      <c r="ER19" s="307"/>
      <c r="ES19" s="313"/>
      <c r="ET19" s="307"/>
      <c r="EU19" s="307"/>
      <c r="EV19" s="307"/>
      <c r="EW19" s="307"/>
      <c r="FB19" s="132"/>
      <c r="FC19" s="261"/>
      <c r="FD19" s="132"/>
      <c r="FE19" s="132"/>
      <c r="FF19" s="132"/>
      <c r="FG19" s="315"/>
      <c r="FH19" s="315"/>
      <c r="FI19" s="317"/>
      <c r="FJ19" s="119"/>
      <c r="FK19" s="271"/>
      <c r="FL19" s="310"/>
      <c r="FM19" s="310"/>
      <c r="FN19" s="310"/>
      <c r="FO19" s="310"/>
      <c r="FP19" s="310"/>
      <c r="FQ19" s="310"/>
      <c r="FR19" s="310"/>
      <c r="FS19" s="310"/>
      <c r="FT19" s="310"/>
      <c r="FU19" s="126"/>
      <c r="FV19" s="126"/>
      <c r="FW19" s="126"/>
      <c r="FX19" s="126"/>
      <c r="FY19" s="126"/>
      <c r="FZ19" s="126"/>
      <c r="GA19" s="126"/>
      <c r="GB19" s="126"/>
      <c r="GC19" s="126"/>
      <c r="GD19" s="126"/>
    </row>
    <row r="20" spans="2:186" s="118" customFormat="1" ht="13.5" customHeight="1" x14ac:dyDescent="0.2">
      <c r="B20" s="158" t="s">
        <v>278</v>
      </c>
      <c r="C20" s="159" t="s">
        <v>188</v>
      </c>
      <c r="D20" s="170">
        <f>IF(ISNA(VLOOKUP($B20,Batting!$B$6:$D$41,3,FALSE)),0,(VLOOKUP($B20,Batting!$B$6:$D$41,3,FALSE)))</f>
        <v>1</v>
      </c>
      <c r="E20" s="171">
        <f t="shared" si="1"/>
        <v>1</v>
      </c>
      <c r="F20" s="175">
        <f t="shared" si="2"/>
        <v>8</v>
      </c>
      <c r="G20" s="176">
        <f t="shared" si="3"/>
        <v>0</v>
      </c>
      <c r="H20" s="176">
        <f t="shared" si="4"/>
        <v>14</v>
      </c>
      <c r="I20" s="176">
        <f t="shared" si="5"/>
        <v>0</v>
      </c>
      <c r="J20" s="175" t="str">
        <f t="shared" si="6"/>
        <v>-</v>
      </c>
      <c r="K20" s="175">
        <f t="shared" si="7"/>
        <v>1.75</v>
      </c>
      <c r="L20" s="344" t="str">
        <f t="shared" si="8"/>
        <v>-</v>
      </c>
      <c r="M20" s="134"/>
      <c r="N20" s="294"/>
      <c r="O20" s="171"/>
      <c r="P20" s="171"/>
      <c r="Q20" s="176"/>
      <c r="R20" s="124"/>
      <c r="S20" s="163">
        <f t="shared" si="9"/>
        <v>-2.8</v>
      </c>
      <c r="T20" s="134"/>
      <c r="U20" s="294">
        <f t="shared" si="10"/>
        <v>1.75</v>
      </c>
      <c r="V20" s="294">
        <f t="shared" si="11"/>
        <v>14</v>
      </c>
      <c r="W20" s="177">
        <f t="shared" si="12"/>
        <v>0</v>
      </c>
      <c r="X20" s="122"/>
      <c r="Y20" s="296"/>
      <c r="Z20" s="171"/>
      <c r="AA20" s="171"/>
      <c r="AB20" s="171"/>
      <c r="AC20" s="319"/>
      <c r="AD20" s="296"/>
      <c r="AE20" s="171"/>
      <c r="AF20" s="171"/>
      <c r="AG20" s="171"/>
      <c r="AH20" s="319"/>
      <c r="AI20" s="296"/>
      <c r="AJ20" s="171"/>
      <c r="AK20" s="171"/>
      <c r="AL20" s="171"/>
      <c r="AM20" s="319"/>
      <c r="AN20" s="296"/>
      <c r="AO20" s="171"/>
      <c r="AP20" s="171"/>
      <c r="AQ20" s="171"/>
      <c r="AR20" s="319"/>
      <c r="AS20" s="296"/>
      <c r="AT20" s="171"/>
      <c r="AU20" s="171"/>
      <c r="AV20" s="171"/>
      <c r="AW20" s="319"/>
      <c r="AX20" s="296"/>
      <c r="AY20" s="171"/>
      <c r="AZ20" s="171"/>
      <c r="BA20" s="171"/>
      <c r="BB20" s="319"/>
      <c r="BC20" s="296"/>
      <c r="BD20" s="171"/>
      <c r="BE20" s="171"/>
      <c r="BF20" s="171"/>
      <c r="BG20" s="319"/>
      <c r="BH20" s="296"/>
      <c r="BI20" s="171"/>
      <c r="BJ20" s="171"/>
      <c r="BK20" s="171"/>
      <c r="BL20" s="319"/>
      <c r="BM20" s="296">
        <v>8</v>
      </c>
      <c r="BN20" s="171">
        <v>0</v>
      </c>
      <c r="BO20" s="171">
        <v>14</v>
      </c>
      <c r="BP20" s="171">
        <v>0</v>
      </c>
      <c r="BQ20" s="319"/>
      <c r="BR20" s="296"/>
      <c r="BS20" s="171"/>
      <c r="BT20" s="171"/>
      <c r="BU20" s="171"/>
      <c r="BV20" s="319"/>
      <c r="BW20" s="296"/>
      <c r="BX20" s="171"/>
      <c r="BY20" s="171"/>
      <c r="BZ20" s="171"/>
      <c r="CA20" s="319"/>
      <c r="CB20" s="296"/>
      <c r="CC20" s="171"/>
      <c r="CD20" s="171"/>
      <c r="CE20" s="171"/>
      <c r="CF20" s="319"/>
      <c r="CG20" s="296"/>
      <c r="CH20" s="171"/>
      <c r="CI20" s="171"/>
      <c r="CJ20" s="171"/>
      <c r="CK20" s="319"/>
      <c r="CL20" s="296"/>
      <c r="CM20" s="171"/>
      <c r="CN20" s="171"/>
      <c r="CO20" s="171"/>
      <c r="CP20" s="319"/>
      <c r="CQ20" s="296"/>
      <c r="CR20" s="171"/>
      <c r="CS20" s="171"/>
      <c r="CT20" s="171"/>
      <c r="CU20" s="319"/>
      <c r="CV20" s="296"/>
      <c r="CW20" s="171"/>
      <c r="CX20" s="171"/>
      <c r="CY20" s="171"/>
      <c r="CZ20" s="319"/>
      <c r="DA20" s="296"/>
      <c r="DB20" s="171"/>
      <c r="DC20" s="171"/>
      <c r="DD20" s="171"/>
      <c r="DE20" s="319"/>
      <c r="DF20" s="296"/>
      <c r="DG20" s="171"/>
      <c r="DH20" s="171"/>
      <c r="DI20" s="171"/>
      <c r="DJ20" s="319"/>
      <c r="DK20" s="296"/>
      <c r="DL20" s="171"/>
      <c r="DM20" s="171"/>
      <c r="DN20" s="171"/>
      <c r="DO20" s="319"/>
      <c r="DP20" s="296"/>
      <c r="DQ20" s="171"/>
      <c r="DR20" s="171"/>
      <c r="DS20" s="171"/>
      <c r="DT20" s="319"/>
      <c r="DU20" s="320"/>
      <c r="DV20" s="154"/>
      <c r="DW20" s="154"/>
      <c r="DX20" s="154"/>
      <c r="DY20" s="319"/>
      <c r="DZ20" s="320"/>
      <c r="EA20" s="154"/>
      <c r="EB20" s="154"/>
      <c r="EC20" s="154"/>
      <c r="ED20" s="313"/>
      <c r="EE20" s="307"/>
      <c r="EF20" s="307"/>
      <c r="EG20" s="307"/>
      <c r="EH20" s="307"/>
      <c r="EI20" s="313"/>
      <c r="EJ20" s="307"/>
      <c r="EK20" s="307"/>
      <c r="EL20" s="307"/>
      <c r="EM20" s="307"/>
      <c r="EN20" s="313"/>
      <c r="EO20" s="307"/>
      <c r="EP20" s="307"/>
      <c r="EQ20" s="307"/>
      <c r="ER20" s="307"/>
      <c r="ES20" s="313"/>
      <c r="ET20" s="307"/>
      <c r="EU20" s="307"/>
      <c r="EV20" s="307"/>
      <c r="EW20" s="307"/>
      <c r="FB20" s="132"/>
      <c r="FC20" s="261"/>
      <c r="FD20" s="132"/>
      <c r="FE20" s="132"/>
      <c r="FF20" s="132"/>
      <c r="FG20" s="315"/>
      <c r="FH20" s="315"/>
      <c r="FI20" s="317"/>
      <c r="FJ20" s="119"/>
      <c r="FK20" s="271"/>
      <c r="FL20" s="310"/>
      <c r="FM20" s="310"/>
      <c r="FN20" s="310"/>
      <c r="FO20" s="310"/>
      <c r="FP20" s="310"/>
      <c r="FQ20" s="310"/>
      <c r="FR20" s="310"/>
      <c r="FS20" s="310"/>
      <c r="FT20" s="310"/>
      <c r="FU20" s="126"/>
      <c r="FV20" s="126"/>
      <c r="FW20" s="126"/>
      <c r="FX20" s="126"/>
      <c r="FY20" s="126"/>
      <c r="FZ20" s="126"/>
      <c r="GA20" s="126"/>
      <c r="GB20" s="126"/>
      <c r="GC20" s="126"/>
      <c r="GD20" s="126"/>
    </row>
    <row r="21" spans="2:186" s="118" customFormat="1" ht="13.5" customHeight="1" x14ac:dyDescent="0.2">
      <c r="B21" s="158" t="s">
        <v>267</v>
      </c>
      <c r="C21" s="159" t="s">
        <v>189</v>
      </c>
      <c r="D21" s="170">
        <f>IF(ISNA(VLOOKUP($B21,Batting!$B$6:$D$41,3,FALSE)),0,(VLOOKUP($B21,Batting!$B$6:$D$41,3,FALSE)))</f>
        <v>1</v>
      </c>
      <c r="E21" s="171">
        <f t="shared" si="1"/>
        <v>1</v>
      </c>
      <c r="F21" s="175">
        <f t="shared" si="2"/>
        <v>6</v>
      </c>
      <c r="G21" s="176">
        <f t="shared" si="3"/>
        <v>1</v>
      </c>
      <c r="H21" s="176">
        <f t="shared" si="4"/>
        <v>17</v>
      </c>
      <c r="I21" s="176">
        <f t="shared" si="5"/>
        <v>1</v>
      </c>
      <c r="J21" s="175">
        <f t="shared" si="6"/>
        <v>6</v>
      </c>
      <c r="K21" s="175">
        <f t="shared" si="7"/>
        <v>2.8333333333333335</v>
      </c>
      <c r="L21" s="344">
        <f t="shared" si="8"/>
        <v>17</v>
      </c>
      <c r="M21" s="134"/>
      <c r="N21" s="294"/>
      <c r="O21" s="171"/>
      <c r="P21" s="171"/>
      <c r="Q21" s="176"/>
      <c r="R21" s="124"/>
      <c r="S21" s="163">
        <f t="shared" si="9"/>
        <v>16.600000000000001</v>
      </c>
      <c r="T21" s="134"/>
      <c r="U21" s="294">
        <f t="shared" si="10"/>
        <v>2.8333333333333335</v>
      </c>
      <c r="V21" s="294">
        <f t="shared" si="11"/>
        <v>17</v>
      </c>
      <c r="W21" s="177">
        <f t="shared" si="12"/>
        <v>0</v>
      </c>
      <c r="X21" s="122"/>
      <c r="Y21" s="296"/>
      <c r="Z21" s="171"/>
      <c r="AA21" s="171"/>
      <c r="AB21" s="171"/>
      <c r="AC21" s="319"/>
      <c r="AD21" s="296"/>
      <c r="AE21" s="171"/>
      <c r="AF21" s="171"/>
      <c r="AG21" s="171"/>
      <c r="AH21" s="319"/>
      <c r="AI21" s="296">
        <v>6</v>
      </c>
      <c r="AJ21" s="171">
        <v>1</v>
      </c>
      <c r="AK21" s="171">
        <v>17</v>
      </c>
      <c r="AL21" s="171">
        <v>1</v>
      </c>
      <c r="AM21" s="319"/>
      <c r="AN21" s="296"/>
      <c r="AO21" s="171"/>
      <c r="AP21" s="171"/>
      <c r="AQ21" s="171"/>
      <c r="AR21" s="319"/>
      <c r="AS21" s="296"/>
      <c r="AT21" s="171"/>
      <c r="AU21" s="171"/>
      <c r="AV21" s="171"/>
      <c r="AW21" s="319"/>
      <c r="AX21" s="296"/>
      <c r="AY21" s="171"/>
      <c r="AZ21" s="171"/>
      <c r="BA21" s="171"/>
      <c r="BB21" s="319"/>
      <c r="BC21" s="296"/>
      <c r="BD21" s="171"/>
      <c r="BE21" s="171"/>
      <c r="BF21" s="171"/>
      <c r="BG21" s="319"/>
      <c r="BH21" s="296"/>
      <c r="BI21" s="171"/>
      <c r="BJ21" s="171"/>
      <c r="BK21" s="171"/>
      <c r="BL21" s="319"/>
      <c r="BM21" s="296"/>
      <c r="BN21" s="171"/>
      <c r="BO21" s="171"/>
      <c r="BP21" s="171"/>
      <c r="BQ21" s="319"/>
      <c r="BR21" s="296"/>
      <c r="BS21" s="171"/>
      <c r="BT21" s="171"/>
      <c r="BU21" s="171"/>
      <c r="BV21" s="319"/>
      <c r="BW21" s="296"/>
      <c r="BX21" s="171"/>
      <c r="BY21" s="171"/>
      <c r="BZ21" s="171"/>
      <c r="CA21" s="319"/>
      <c r="CB21" s="296"/>
      <c r="CC21" s="171"/>
      <c r="CD21" s="171"/>
      <c r="CE21" s="171"/>
      <c r="CF21" s="319"/>
      <c r="CG21" s="296"/>
      <c r="CH21" s="171"/>
      <c r="CI21" s="171"/>
      <c r="CJ21" s="171"/>
      <c r="CK21" s="319"/>
      <c r="CL21" s="296"/>
      <c r="CM21" s="171"/>
      <c r="CN21" s="171"/>
      <c r="CO21" s="171"/>
      <c r="CP21" s="319"/>
      <c r="CQ21" s="296"/>
      <c r="CR21" s="171"/>
      <c r="CS21" s="171"/>
      <c r="CT21" s="171"/>
      <c r="CU21" s="319"/>
      <c r="CV21" s="296"/>
      <c r="CW21" s="171"/>
      <c r="CX21" s="171"/>
      <c r="CY21" s="171"/>
      <c r="CZ21" s="319"/>
      <c r="DA21" s="296"/>
      <c r="DB21" s="171"/>
      <c r="DC21" s="171"/>
      <c r="DD21" s="171"/>
      <c r="DE21" s="319"/>
      <c r="DF21" s="296"/>
      <c r="DG21" s="171"/>
      <c r="DH21" s="171"/>
      <c r="DI21" s="171"/>
      <c r="DJ21" s="319"/>
      <c r="DK21" s="296"/>
      <c r="DL21" s="171"/>
      <c r="DM21" s="171"/>
      <c r="DN21" s="171"/>
      <c r="DO21" s="319"/>
      <c r="DP21" s="296"/>
      <c r="DQ21" s="171"/>
      <c r="DR21" s="171"/>
      <c r="DS21" s="171"/>
      <c r="DT21" s="319"/>
      <c r="DU21" s="320"/>
      <c r="DV21" s="154"/>
      <c r="DW21" s="154"/>
      <c r="DX21" s="154"/>
      <c r="DY21" s="319"/>
      <c r="DZ21" s="320"/>
      <c r="EA21" s="154"/>
      <c r="EB21" s="154"/>
      <c r="EC21" s="154"/>
      <c r="ED21" s="313"/>
      <c r="EE21" s="307"/>
      <c r="EF21" s="307"/>
      <c r="EG21" s="307"/>
      <c r="EH21" s="307"/>
      <c r="EI21" s="313"/>
      <c r="EJ21" s="307"/>
      <c r="EK21" s="307"/>
      <c r="EL21" s="307"/>
      <c r="EM21" s="307"/>
      <c r="EN21" s="313"/>
      <c r="EO21" s="307"/>
      <c r="EP21" s="307"/>
      <c r="EQ21" s="307"/>
      <c r="ER21" s="307"/>
      <c r="ES21" s="313"/>
      <c r="ET21" s="307"/>
      <c r="EU21" s="307"/>
      <c r="EV21" s="307"/>
      <c r="EW21" s="307"/>
      <c r="FB21" s="132"/>
      <c r="FC21" s="261"/>
      <c r="FD21" s="132"/>
      <c r="FE21" s="132"/>
      <c r="FF21" s="132"/>
      <c r="FG21" s="315"/>
      <c r="FH21" s="315"/>
      <c r="FI21" s="317"/>
      <c r="FJ21" s="119"/>
      <c r="FK21" s="271"/>
      <c r="FL21" s="310"/>
      <c r="FM21" s="310"/>
      <c r="FN21" s="310"/>
      <c r="FO21" s="310"/>
      <c r="FP21" s="310"/>
      <c r="FQ21" s="310"/>
      <c r="FR21" s="310"/>
      <c r="FS21" s="310"/>
      <c r="FT21" s="310"/>
      <c r="FU21" s="126"/>
      <c r="FV21" s="126"/>
      <c r="FW21" s="126"/>
      <c r="FX21" s="126"/>
      <c r="FY21" s="126"/>
      <c r="FZ21" s="126"/>
      <c r="GA21" s="126"/>
      <c r="GB21" s="126"/>
      <c r="GC21" s="126"/>
      <c r="GD21" s="126"/>
    </row>
    <row r="22" spans="2:186" s="118" customFormat="1" ht="13.5" customHeight="1" x14ac:dyDescent="0.2">
      <c r="B22" s="158" t="s">
        <v>221</v>
      </c>
      <c r="C22" s="159" t="s">
        <v>189</v>
      </c>
      <c r="D22" s="170">
        <f>IF(ISNA(VLOOKUP($B22,Batting!$B$6:$D$41,3,FALSE)),0,(VLOOKUP($B22,Batting!$B$6:$D$41,3,FALSE)))</f>
        <v>1</v>
      </c>
      <c r="E22" s="171">
        <f t="shared" si="1"/>
        <v>1</v>
      </c>
      <c r="F22" s="175">
        <f t="shared" si="2"/>
        <v>4</v>
      </c>
      <c r="G22" s="176">
        <f t="shared" si="3"/>
        <v>0</v>
      </c>
      <c r="H22" s="176">
        <f t="shared" si="4"/>
        <v>26</v>
      </c>
      <c r="I22" s="176">
        <f t="shared" si="5"/>
        <v>2</v>
      </c>
      <c r="J22" s="175">
        <f t="shared" si="6"/>
        <v>2</v>
      </c>
      <c r="K22" s="175">
        <f t="shared" si="7"/>
        <v>6.5</v>
      </c>
      <c r="L22" s="344">
        <f t="shared" si="8"/>
        <v>13</v>
      </c>
      <c r="M22" s="134"/>
      <c r="N22" s="294"/>
      <c r="O22" s="171"/>
      <c r="P22" s="171"/>
      <c r="Q22" s="176"/>
      <c r="R22" s="124"/>
      <c r="S22" s="163">
        <f t="shared" si="9"/>
        <v>34.799999999999997</v>
      </c>
      <c r="T22" s="134"/>
      <c r="U22" s="294">
        <f t="shared" si="10"/>
        <v>6.5</v>
      </c>
      <c r="V22" s="294">
        <f t="shared" si="11"/>
        <v>13</v>
      </c>
      <c r="W22" s="177">
        <f t="shared" si="12"/>
        <v>0</v>
      </c>
      <c r="X22" s="122"/>
      <c r="Y22" s="296"/>
      <c r="Z22" s="171"/>
      <c r="AA22" s="171"/>
      <c r="AB22" s="171"/>
      <c r="AC22" s="319"/>
      <c r="AD22" s="296"/>
      <c r="AE22" s="171"/>
      <c r="AF22" s="171"/>
      <c r="AG22" s="171"/>
      <c r="AH22" s="319"/>
      <c r="AI22" s="296"/>
      <c r="AJ22" s="171"/>
      <c r="AK22" s="171"/>
      <c r="AL22" s="171"/>
      <c r="AM22" s="319"/>
      <c r="AN22" s="296"/>
      <c r="AO22" s="171"/>
      <c r="AP22" s="171"/>
      <c r="AQ22" s="171"/>
      <c r="AR22" s="319"/>
      <c r="AS22" s="296"/>
      <c r="AT22" s="171"/>
      <c r="AU22" s="171"/>
      <c r="AV22" s="171"/>
      <c r="AW22" s="319"/>
      <c r="AX22" s="296"/>
      <c r="AY22" s="171"/>
      <c r="AZ22" s="171"/>
      <c r="BA22" s="171"/>
      <c r="BB22" s="319"/>
      <c r="BC22" s="296"/>
      <c r="BD22" s="171"/>
      <c r="BE22" s="171"/>
      <c r="BF22" s="171"/>
      <c r="BG22" s="319"/>
      <c r="BH22" s="296"/>
      <c r="BI22" s="171"/>
      <c r="BJ22" s="171"/>
      <c r="BK22" s="171"/>
      <c r="BL22" s="319"/>
      <c r="BM22" s="296">
        <v>4</v>
      </c>
      <c r="BN22" s="171">
        <v>0</v>
      </c>
      <c r="BO22" s="171">
        <v>26</v>
      </c>
      <c r="BP22" s="171">
        <v>2</v>
      </c>
      <c r="BQ22" s="319"/>
      <c r="BR22" s="296"/>
      <c r="BS22" s="171"/>
      <c r="BT22" s="171"/>
      <c r="BU22" s="171"/>
      <c r="BV22" s="319"/>
      <c r="BW22" s="296"/>
      <c r="BX22" s="171"/>
      <c r="BY22" s="171"/>
      <c r="BZ22" s="171"/>
      <c r="CA22" s="319"/>
      <c r="CB22" s="296"/>
      <c r="CC22" s="171"/>
      <c r="CD22" s="171"/>
      <c r="CE22" s="171"/>
      <c r="CF22" s="319"/>
      <c r="CG22" s="296"/>
      <c r="CH22" s="171"/>
      <c r="CI22" s="171"/>
      <c r="CJ22" s="171"/>
      <c r="CK22" s="319"/>
      <c r="CL22" s="296"/>
      <c r="CM22" s="171"/>
      <c r="CN22" s="171"/>
      <c r="CO22" s="171"/>
      <c r="CP22" s="319"/>
      <c r="CQ22" s="296"/>
      <c r="CR22" s="171"/>
      <c r="CS22" s="171"/>
      <c r="CT22" s="171"/>
      <c r="CU22" s="319"/>
      <c r="CV22" s="296"/>
      <c r="CW22" s="171"/>
      <c r="CX22" s="171"/>
      <c r="CY22" s="171"/>
      <c r="CZ22" s="319"/>
      <c r="DA22" s="296"/>
      <c r="DB22" s="171"/>
      <c r="DC22" s="171"/>
      <c r="DD22" s="171"/>
      <c r="DE22" s="319"/>
      <c r="DF22" s="296"/>
      <c r="DG22" s="171"/>
      <c r="DH22" s="171"/>
      <c r="DI22" s="171"/>
      <c r="DJ22" s="319"/>
      <c r="DK22" s="296"/>
      <c r="DL22" s="171"/>
      <c r="DM22" s="171"/>
      <c r="DN22" s="171"/>
      <c r="DO22" s="319"/>
      <c r="DP22" s="296"/>
      <c r="DQ22" s="171"/>
      <c r="DR22" s="171"/>
      <c r="DS22" s="171"/>
      <c r="DT22" s="319"/>
      <c r="DU22" s="320"/>
      <c r="DV22" s="154"/>
      <c r="DW22" s="154"/>
      <c r="DX22" s="154"/>
      <c r="DY22" s="319"/>
      <c r="DZ22" s="320"/>
      <c r="EA22" s="154"/>
      <c r="EB22" s="154"/>
      <c r="EC22" s="154"/>
      <c r="ED22" s="313"/>
      <c r="EE22" s="307"/>
      <c r="EF22" s="307"/>
      <c r="EG22" s="307"/>
      <c r="EH22" s="307"/>
      <c r="EI22" s="313"/>
      <c r="EJ22" s="307"/>
      <c r="EK22" s="307"/>
      <c r="EL22" s="307"/>
      <c r="EM22" s="307"/>
      <c r="EN22" s="313"/>
      <c r="EO22" s="307"/>
      <c r="EP22" s="307"/>
      <c r="EQ22" s="307"/>
      <c r="ER22" s="307"/>
      <c r="ES22" s="313"/>
      <c r="ET22" s="307"/>
      <c r="EU22" s="307"/>
      <c r="EV22" s="307"/>
      <c r="EW22" s="307"/>
      <c r="FB22" s="132"/>
      <c r="FC22" s="261"/>
      <c r="FD22" s="132"/>
      <c r="FE22" s="132"/>
      <c r="FF22" s="132"/>
      <c r="FG22" s="315"/>
      <c r="FH22" s="315"/>
      <c r="FI22" s="317"/>
      <c r="FJ22" s="119"/>
      <c r="FK22" s="271"/>
      <c r="FL22" s="310"/>
      <c r="FM22" s="310"/>
      <c r="FN22" s="310"/>
      <c r="FO22" s="310"/>
      <c r="FP22" s="310"/>
      <c r="FQ22" s="310"/>
      <c r="FR22" s="310"/>
      <c r="FS22" s="310"/>
      <c r="FT22" s="310"/>
      <c r="FU22" s="126"/>
      <c r="FV22" s="126"/>
      <c r="FW22" s="126"/>
      <c r="FX22" s="126"/>
      <c r="FY22" s="126"/>
      <c r="FZ22" s="126"/>
      <c r="GA22" s="126"/>
      <c r="GB22" s="126"/>
      <c r="GC22" s="126"/>
      <c r="GD22" s="126"/>
    </row>
    <row r="23" spans="2:186" s="118" customFormat="1" ht="13.5" customHeight="1" x14ac:dyDescent="0.2">
      <c r="B23" s="158" t="s">
        <v>276</v>
      </c>
      <c r="C23" s="159" t="s">
        <v>191</v>
      </c>
      <c r="D23" s="170">
        <f>IF(ISNA(VLOOKUP($B23,Batting!$B$6:$D$41,3,FALSE)),0,(VLOOKUP($B23,Batting!$B$6:$D$41,3,FALSE)))</f>
        <v>1</v>
      </c>
      <c r="E23" s="171">
        <f t="shared" si="1"/>
        <v>1</v>
      </c>
      <c r="F23" s="175">
        <f t="shared" si="2"/>
        <v>4</v>
      </c>
      <c r="G23" s="176">
        <f t="shared" si="3"/>
        <v>1</v>
      </c>
      <c r="H23" s="176">
        <f t="shared" si="4"/>
        <v>18</v>
      </c>
      <c r="I23" s="176">
        <f t="shared" si="5"/>
        <v>1</v>
      </c>
      <c r="J23" s="175">
        <f t="shared" si="6"/>
        <v>4</v>
      </c>
      <c r="K23" s="175">
        <f t="shared" si="7"/>
        <v>4.5</v>
      </c>
      <c r="L23" s="344">
        <f t="shared" si="8"/>
        <v>18</v>
      </c>
      <c r="M23" s="134"/>
      <c r="N23" s="296"/>
      <c r="O23" s="171"/>
      <c r="P23" s="171"/>
      <c r="Q23" s="171"/>
      <c r="R23" s="124"/>
      <c r="S23" s="163">
        <f t="shared" si="9"/>
        <v>16.399999999999999</v>
      </c>
      <c r="T23" s="134"/>
      <c r="U23" s="294">
        <f t="shared" si="10"/>
        <v>4.5</v>
      </c>
      <c r="V23" s="294">
        <f t="shared" si="11"/>
        <v>18</v>
      </c>
      <c r="W23" s="177">
        <f t="shared" si="12"/>
        <v>0</v>
      </c>
      <c r="X23" s="122"/>
      <c r="Y23" s="296"/>
      <c r="Z23" s="171"/>
      <c r="AA23" s="171"/>
      <c r="AB23" s="171"/>
      <c r="AC23" s="319"/>
      <c r="AD23" s="296"/>
      <c r="AE23" s="171"/>
      <c r="AF23" s="171"/>
      <c r="AG23" s="171"/>
      <c r="AH23" s="319"/>
      <c r="AI23" s="296"/>
      <c r="AJ23" s="171"/>
      <c r="AK23" s="171"/>
      <c r="AL23" s="171"/>
      <c r="AM23" s="319"/>
      <c r="AN23" s="296"/>
      <c r="AO23" s="171"/>
      <c r="AP23" s="171"/>
      <c r="AQ23" s="171"/>
      <c r="AR23" s="319"/>
      <c r="AS23" s="296"/>
      <c r="AT23" s="171"/>
      <c r="AU23" s="171"/>
      <c r="AV23" s="171"/>
      <c r="AW23" s="319"/>
      <c r="AX23" s="296"/>
      <c r="AY23" s="171"/>
      <c r="AZ23" s="171"/>
      <c r="BA23" s="171"/>
      <c r="BB23" s="319"/>
      <c r="BC23" s="296"/>
      <c r="BD23" s="171"/>
      <c r="BE23" s="171"/>
      <c r="BF23" s="171"/>
      <c r="BG23" s="319"/>
      <c r="BH23" s="296">
        <v>4</v>
      </c>
      <c r="BI23" s="171">
        <v>1</v>
      </c>
      <c r="BJ23" s="171">
        <v>18</v>
      </c>
      <c r="BK23" s="171">
        <v>1</v>
      </c>
      <c r="BL23" s="319"/>
      <c r="BM23" s="296"/>
      <c r="BN23" s="171"/>
      <c r="BO23" s="171"/>
      <c r="BP23" s="171"/>
      <c r="BQ23" s="319"/>
      <c r="BR23" s="296"/>
      <c r="BS23" s="171"/>
      <c r="BT23" s="171"/>
      <c r="BU23" s="171"/>
      <c r="BV23" s="319"/>
      <c r="BW23" s="296"/>
      <c r="BX23" s="171"/>
      <c r="BY23" s="171"/>
      <c r="BZ23" s="171"/>
      <c r="CA23" s="319"/>
      <c r="CB23" s="296"/>
      <c r="CC23" s="171"/>
      <c r="CD23" s="171"/>
      <c r="CE23" s="171"/>
      <c r="CF23" s="319"/>
      <c r="CG23" s="296"/>
      <c r="CH23" s="171"/>
      <c r="CI23" s="171"/>
      <c r="CJ23" s="171"/>
      <c r="CK23" s="319"/>
      <c r="CL23" s="296"/>
      <c r="CM23" s="171"/>
      <c r="CN23" s="171"/>
      <c r="CO23" s="171"/>
      <c r="CP23" s="319"/>
      <c r="CQ23" s="296"/>
      <c r="CR23" s="171"/>
      <c r="CS23" s="171"/>
      <c r="CT23" s="171"/>
      <c r="CU23" s="319"/>
      <c r="CV23" s="296"/>
      <c r="CW23" s="171"/>
      <c r="CX23" s="171"/>
      <c r="CY23" s="171"/>
      <c r="CZ23" s="319"/>
      <c r="DA23" s="296"/>
      <c r="DB23" s="171"/>
      <c r="DC23" s="171"/>
      <c r="DD23" s="171"/>
      <c r="DE23" s="319"/>
      <c r="DF23" s="296"/>
      <c r="DG23" s="171"/>
      <c r="DH23" s="171"/>
      <c r="DI23" s="171"/>
      <c r="DJ23" s="319"/>
      <c r="DK23" s="296"/>
      <c r="DL23" s="171"/>
      <c r="DM23" s="171"/>
      <c r="DN23" s="171"/>
      <c r="DO23" s="319"/>
      <c r="DP23" s="296"/>
      <c r="DQ23" s="171"/>
      <c r="DR23" s="171"/>
      <c r="DS23" s="171"/>
      <c r="DT23" s="319"/>
      <c r="DU23" s="320"/>
      <c r="DV23" s="154"/>
      <c r="DW23" s="154"/>
      <c r="DX23" s="154"/>
      <c r="DY23" s="319"/>
      <c r="DZ23" s="320"/>
      <c r="EA23" s="154"/>
      <c r="EB23" s="154"/>
      <c r="EC23" s="154"/>
      <c r="ED23" s="313"/>
      <c r="EE23" s="307"/>
      <c r="EF23" s="307"/>
      <c r="EG23" s="307"/>
      <c r="EH23" s="307"/>
      <c r="EI23" s="313"/>
      <c r="EJ23" s="307"/>
      <c r="EK23" s="307"/>
      <c r="EL23" s="307"/>
      <c r="EM23" s="307"/>
      <c r="EN23" s="313"/>
      <c r="EO23" s="307"/>
      <c r="EP23" s="307"/>
      <c r="EQ23" s="307"/>
      <c r="ER23" s="307"/>
      <c r="ES23" s="313"/>
      <c r="ET23" s="307"/>
      <c r="EU23" s="307"/>
      <c r="EV23" s="307"/>
      <c r="EW23" s="307"/>
      <c r="FB23" s="132"/>
      <c r="FC23" s="261"/>
      <c r="FD23" s="132"/>
      <c r="FE23" s="132"/>
      <c r="FF23" s="132"/>
      <c r="FG23" s="315"/>
      <c r="FH23" s="315"/>
      <c r="FI23" s="317"/>
      <c r="FJ23" s="119"/>
      <c r="FK23" s="271"/>
      <c r="FL23" s="310"/>
      <c r="FM23" s="310"/>
      <c r="FN23" s="310"/>
      <c r="FO23" s="310"/>
      <c r="FP23" s="310"/>
      <c r="FQ23" s="310"/>
      <c r="FR23" s="310"/>
      <c r="FS23" s="310"/>
      <c r="FT23" s="310"/>
      <c r="FU23" s="126"/>
      <c r="FV23" s="126"/>
      <c r="FW23" s="126"/>
      <c r="FX23" s="126"/>
      <c r="FY23" s="126"/>
      <c r="FZ23" s="126"/>
      <c r="GA23" s="126"/>
      <c r="GB23" s="126"/>
      <c r="GC23" s="126"/>
      <c r="GD23" s="126"/>
    </row>
    <row r="24" spans="2:186" s="118" customFormat="1" ht="13.5" customHeight="1" x14ac:dyDescent="0.2">
      <c r="B24" s="158" t="s">
        <v>286</v>
      </c>
      <c r="C24" s="159" t="s">
        <v>285</v>
      </c>
      <c r="D24" s="170">
        <f>IF(ISNA(VLOOKUP($B24,Batting!$B$6:$D$41,3,FALSE)),0,(VLOOKUP($B24,Batting!$B$6:$D$41,3,FALSE)))</f>
        <v>1</v>
      </c>
      <c r="E24" s="171">
        <f t="shared" si="1"/>
        <v>1</v>
      </c>
      <c r="F24" s="175">
        <f t="shared" si="2"/>
        <v>3.4</v>
      </c>
      <c r="G24" s="176">
        <f t="shared" si="3"/>
        <v>0</v>
      </c>
      <c r="H24" s="176">
        <f t="shared" si="4"/>
        <v>40</v>
      </c>
      <c r="I24" s="176">
        <f t="shared" si="5"/>
        <v>1</v>
      </c>
      <c r="J24" s="175">
        <f t="shared" si="6"/>
        <v>3.4</v>
      </c>
      <c r="K24" s="175">
        <f t="shared" si="7"/>
        <v>11.764705882352942</v>
      </c>
      <c r="L24" s="344">
        <f t="shared" si="8"/>
        <v>40</v>
      </c>
      <c r="M24" s="134"/>
      <c r="N24" s="294"/>
      <c r="O24" s="171"/>
      <c r="P24" s="171"/>
      <c r="Q24" s="176"/>
      <c r="R24" s="124"/>
      <c r="S24" s="163">
        <f t="shared" si="9"/>
        <v>12</v>
      </c>
      <c r="T24" s="134"/>
      <c r="U24" s="294">
        <f t="shared" si="10"/>
        <v>11.764705882352942</v>
      </c>
      <c r="V24" s="294">
        <f t="shared" si="11"/>
        <v>40</v>
      </c>
      <c r="W24" s="177">
        <f t="shared" si="12"/>
        <v>0</v>
      </c>
      <c r="X24" s="122"/>
      <c r="Y24" s="296"/>
      <c r="Z24" s="171"/>
      <c r="AA24" s="171"/>
      <c r="AB24" s="171"/>
      <c r="AC24" s="319"/>
      <c r="AD24" s="296"/>
      <c r="AE24" s="171"/>
      <c r="AF24" s="171"/>
      <c r="AG24" s="171"/>
      <c r="AH24" s="319"/>
      <c r="AI24" s="296"/>
      <c r="AJ24" s="171"/>
      <c r="AK24" s="171"/>
      <c r="AL24" s="171"/>
      <c r="AM24" s="319"/>
      <c r="AN24" s="296"/>
      <c r="AO24" s="171"/>
      <c r="AP24" s="171"/>
      <c r="AQ24" s="171"/>
      <c r="AR24" s="319"/>
      <c r="AS24" s="296"/>
      <c r="AT24" s="171"/>
      <c r="AU24" s="171"/>
      <c r="AV24" s="171"/>
      <c r="AW24" s="319"/>
      <c r="AX24" s="296"/>
      <c r="AY24" s="171"/>
      <c r="AZ24" s="171"/>
      <c r="BA24" s="171"/>
      <c r="BB24" s="319"/>
      <c r="BC24" s="296"/>
      <c r="BD24" s="171"/>
      <c r="BE24" s="171"/>
      <c r="BF24" s="171"/>
      <c r="BG24" s="319"/>
      <c r="BH24" s="296"/>
      <c r="BI24" s="171"/>
      <c r="BJ24" s="171"/>
      <c r="BK24" s="171"/>
      <c r="BL24" s="319"/>
      <c r="BM24" s="296"/>
      <c r="BN24" s="171"/>
      <c r="BO24" s="171"/>
      <c r="BP24" s="171"/>
      <c r="BQ24" s="319"/>
      <c r="BR24" s="296"/>
      <c r="BS24" s="171"/>
      <c r="BT24" s="171"/>
      <c r="BU24" s="171"/>
      <c r="BV24" s="319"/>
      <c r="BW24" s="296"/>
      <c r="BX24" s="171"/>
      <c r="BY24" s="171"/>
      <c r="BZ24" s="171"/>
      <c r="CA24" s="319"/>
      <c r="CB24" s="296"/>
      <c r="CC24" s="171"/>
      <c r="CD24" s="171"/>
      <c r="CE24" s="171"/>
      <c r="CF24" s="319"/>
      <c r="CG24" s="296"/>
      <c r="CH24" s="171"/>
      <c r="CI24" s="171"/>
      <c r="CJ24" s="171"/>
      <c r="CK24" s="319"/>
      <c r="CL24" s="296"/>
      <c r="CM24" s="171"/>
      <c r="CN24" s="171"/>
      <c r="CO24" s="171"/>
      <c r="CP24" s="319"/>
      <c r="CQ24" s="296"/>
      <c r="CR24" s="171"/>
      <c r="CS24" s="171"/>
      <c r="CT24" s="171"/>
      <c r="CU24" s="319"/>
      <c r="CV24" s="296">
        <v>3.4</v>
      </c>
      <c r="CW24" s="171">
        <v>0</v>
      </c>
      <c r="CX24" s="171">
        <v>40</v>
      </c>
      <c r="CY24" s="171">
        <v>1</v>
      </c>
      <c r="CZ24" s="319"/>
      <c r="DA24" s="296"/>
      <c r="DB24" s="171"/>
      <c r="DC24" s="171"/>
      <c r="DD24" s="171"/>
      <c r="DE24" s="319"/>
      <c r="DF24" s="296"/>
      <c r="DG24" s="171"/>
      <c r="DH24" s="171"/>
      <c r="DI24" s="171"/>
      <c r="DJ24" s="319"/>
      <c r="DK24" s="296"/>
      <c r="DL24" s="171"/>
      <c r="DM24" s="171"/>
      <c r="DN24" s="171"/>
      <c r="DO24" s="319"/>
      <c r="DP24" s="296"/>
      <c r="DQ24" s="171"/>
      <c r="DR24" s="171"/>
      <c r="DS24" s="171"/>
      <c r="DT24" s="319"/>
      <c r="DU24" s="320"/>
      <c r="DV24" s="154"/>
      <c r="DW24" s="154"/>
      <c r="DX24" s="154"/>
      <c r="DY24" s="319"/>
      <c r="DZ24" s="320"/>
      <c r="EA24" s="154"/>
      <c r="EB24" s="154"/>
      <c r="EC24" s="154"/>
      <c r="ED24" s="313"/>
      <c r="EE24" s="307"/>
      <c r="EF24" s="307"/>
      <c r="EG24" s="307"/>
      <c r="EH24" s="307"/>
      <c r="EI24" s="313"/>
      <c r="EJ24" s="307"/>
      <c r="EK24" s="307"/>
      <c r="EL24" s="307"/>
      <c r="EM24" s="307"/>
      <c r="EN24" s="313"/>
      <c r="EO24" s="307"/>
      <c r="EP24" s="307"/>
      <c r="EQ24" s="307"/>
      <c r="ER24" s="307"/>
      <c r="ES24" s="313"/>
      <c r="ET24" s="307"/>
      <c r="EU24" s="307"/>
      <c r="EV24" s="307"/>
      <c r="EW24" s="307"/>
      <c r="FB24" s="132"/>
      <c r="FC24" s="261"/>
      <c r="FD24" s="132"/>
      <c r="FE24" s="132"/>
      <c r="FF24" s="132"/>
      <c r="FG24" s="315"/>
      <c r="FH24" s="315"/>
      <c r="FI24" s="317"/>
      <c r="FJ24" s="119"/>
      <c r="FK24" s="271"/>
      <c r="FL24" s="310"/>
      <c r="FM24" s="310"/>
      <c r="FN24" s="310"/>
      <c r="FO24" s="310"/>
      <c r="FP24" s="310"/>
      <c r="FQ24" s="310"/>
      <c r="FR24" s="310"/>
      <c r="FS24" s="310"/>
      <c r="FT24" s="310"/>
      <c r="FU24" s="126"/>
      <c r="FV24" s="126"/>
      <c r="FW24" s="126"/>
      <c r="FX24" s="126"/>
      <c r="FY24" s="126"/>
      <c r="FZ24" s="126"/>
      <c r="GA24" s="126"/>
      <c r="GB24" s="126"/>
      <c r="GC24" s="126"/>
      <c r="GD24" s="126"/>
    </row>
    <row r="25" spans="2:186" s="118" customFormat="1" ht="13.5" customHeight="1" x14ac:dyDescent="0.2">
      <c r="B25" s="158" t="s">
        <v>31</v>
      </c>
      <c r="C25" s="159" t="s">
        <v>191</v>
      </c>
      <c r="D25" s="170">
        <f>IF(ISNA(VLOOKUP($B25,Batting!$B$6:$D$41,3,FALSE)),0,(VLOOKUP($B25,Batting!$B$6:$D$41,3,FALSE)))</f>
        <v>14</v>
      </c>
      <c r="E25" s="171">
        <f t="shared" si="1"/>
        <v>1</v>
      </c>
      <c r="F25" s="175">
        <f t="shared" si="2"/>
        <v>3</v>
      </c>
      <c r="G25" s="176">
        <f t="shared" si="3"/>
        <v>0</v>
      </c>
      <c r="H25" s="176">
        <f t="shared" si="4"/>
        <v>16</v>
      </c>
      <c r="I25" s="176">
        <f t="shared" si="5"/>
        <v>1</v>
      </c>
      <c r="J25" s="175">
        <f t="shared" si="6"/>
        <v>3</v>
      </c>
      <c r="K25" s="175">
        <f t="shared" si="7"/>
        <v>5.333333333333333</v>
      </c>
      <c r="L25" s="344">
        <f t="shared" si="8"/>
        <v>16</v>
      </c>
      <c r="M25" s="134"/>
      <c r="N25" s="296"/>
      <c r="O25" s="171"/>
      <c r="P25" s="171"/>
      <c r="Q25" s="171"/>
      <c r="R25" s="124"/>
      <c r="S25" s="163">
        <f t="shared" si="9"/>
        <v>16.8</v>
      </c>
      <c r="T25" s="134"/>
      <c r="U25" s="294">
        <f t="shared" si="10"/>
        <v>5.487544483985765</v>
      </c>
      <c r="V25" s="294">
        <f t="shared" si="11"/>
        <v>23.363636363636363</v>
      </c>
      <c r="W25" s="177">
        <f t="shared" si="12"/>
        <v>3</v>
      </c>
      <c r="X25" s="122"/>
      <c r="Y25" s="296"/>
      <c r="Z25" s="171"/>
      <c r="AA25" s="171"/>
      <c r="AB25" s="171"/>
      <c r="AC25" s="319"/>
      <c r="AD25" s="296"/>
      <c r="AE25" s="171"/>
      <c r="AF25" s="171"/>
      <c r="AG25" s="171"/>
      <c r="AH25" s="319"/>
      <c r="AI25" s="296"/>
      <c r="AJ25" s="171"/>
      <c r="AK25" s="171"/>
      <c r="AL25" s="171"/>
      <c r="AM25" s="319"/>
      <c r="AN25" s="296"/>
      <c r="AO25" s="171"/>
      <c r="AP25" s="171"/>
      <c r="AQ25" s="171"/>
      <c r="AR25" s="319"/>
      <c r="AS25" s="296"/>
      <c r="AT25" s="171"/>
      <c r="AU25" s="171"/>
      <c r="AV25" s="171"/>
      <c r="AW25" s="319"/>
      <c r="AX25" s="296"/>
      <c r="AY25" s="171"/>
      <c r="AZ25" s="171"/>
      <c r="BA25" s="171"/>
      <c r="BB25" s="319"/>
      <c r="BC25" s="296"/>
      <c r="BD25" s="171"/>
      <c r="BE25" s="171"/>
      <c r="BF25" s="171"/>
      <c r="BG25" s="319"/>
      <c r="BH25" s="296"/>
      <c r="BI25" s="171"/>
      <c r="BJ25" s="171"/>
      <c r="BK25" s="171"/>
      <c r="BL25" s="319"/>
      <c r="BM25" s="296"/>
      <c r="BN25" s="171"/>
      <c r="BO25" s="171"/>
      <c r="BP25" s="171"/>
      <c r="BQ25" s="319"/>
      <c r="BR25" s="296"/>
      <c r="BS25" s="171"/>
      <c r="BT25" s="171"/>
      <c r="BU25" s="171"/>
      <c r="BV25" s="319"/>
      <c r="BW25" s="296">
        <v>3</v>
      </c>
      <c r="BX25" s="171">
        <v>0</v>
      </c>
      <c r="BY25" s="171">
        <v>16</v>
      </c>
      <c r="BZ25" s="171">
        <v>1</v>
      </c>
      <c r="CA25" s="319"/>
      <c r="CB25" s="296"/>
      <c r="CC25" s="171"/>
      <c r="CD25" s="171"/>
      <c r="CE25" s="171"/>
      <c r="CF25" s="319"/>
      <c r="CG25" s="296"/>
      <c r="CH25" s="171"/>
      <c r="CI25" s="171"/>
      <c r="CJ25" s="171"/>
      <c r="CK25" s="319"/>
      <c r="CL25" s="296"/>
      <c r="CM25" s="171"/>
      <c r="CN25" s="171"/>
      <c r="CO25" s="171"/>
      <c r="CP25" s="319"/>
      <c r="CQ25" s="296"/>
      <c r="CR25" s="171"/>
      <c r="CS25" s="171"/>
      <c r="CT25" s="171"/>
      <c r="CU25" s="319"/>
      <c r="CV25" s="296"/>
      <c r="CW25" s="171"/>
      <c r="CX25" s="171"/>
      <c r="CY25" s="171"/>
      <c r="CZ25" s="319"/>
      <c r="DA25" s="296"/>
      <c r="DB25" s="171"/>
      <c r="DC25" s="171"/>
      <c r="DD25" s="171"/>
      <c r="DE25" s="319"/>
      <c r="DF25" s="296"/>
      <c r="DG25" s="171"/>
      <c r="DH25" s="171"/>
      <c r="DI25" s="171"/>
      <c r="DJ25" s="319"/>
      <c r="DK25" s="296"/>
      <c r="DL25" s="171"/>
      <c r="DM25" s="171"/>
      <c r="DN25" s="171"/>
      <c r="DO25" s="319"/>
      <c r="DP25" s="296"/>
      <c r="DQ25" s="171"/>
      <c r="DR25" s="171"/>
      <c r="DS25" s="171"/>
      <c r="DT25" s="319"/>
      <c r="DU25" s="320"/>
      <c r="DV25" s="154"/>
      <c r="DW25" s="154"/>
      <c r="DX25" s="154"/>
      <c r="DY25" s="319"/>
      <c r="DZ25" s="320"/>
      <c r="EA25" s="154"/>
      <c r="EB25" s="154"/>
      <c r="EC25" s="154"/>
      <c r="ED25" s="313"/>
      <c r="EE25" s="307"/>
      <c r="EF25" s="307"/>
      <c r="EG25" s="307"/>
      <c r="EH25" s="307"/>
      <c r="EI25" s="313"/>
      <c r="EJ25" s="307"/>
      <c r="EK25" s="307"/>
      <c r="EL25" s="307"/>
      <c r="EM25" s="307"/>
      <c r="EN25" s="313"/>
      <c r="EO25" s="307"/>
      <c r="EP25" s="307"/>
      <c r="EQ25" s="307"/>
      <c r="ER25" s="307"/>
      <c r="ES25" s="313"/>
      <c r="ET25" s="307"/>
      <c r="EU25" s="307"/>
      <c r="EV25" s="307"/>
      <c r="EW25" s="307"/>
      <c r="FB25" s="132">
        <v>119</v>
      </c>
      <c r="FC25" s="261">
        <v>137.5</v>
      </c>
      <c r="FD25" s="132">
        <v>9</v>
      </c>
      <c r="FE25" s="132">
        <v>755</v>
      </c>
      <c r="FF25" s="132">
        <v>32</v>
      </c>
      <c r="FG25" s="315">
        <f>IF(FF25=0,"-",FC25/FF25)</f>
        <v>4.296875</v>
      </c>
      <c r="FH25" s="315">
        <f>IF(FC25=0,"-",FE25/FC25)</f>
        <v>5.4909090909090912</v>
      </c>
      <c r="FI25" s="317">
        <f>IF(FF25=0,"-",FE25/FF25)</f>
        <v>23.59375</v>
      </c>
      <c r="FJ25" s="119"/>
      <c r="FK25" s="271"/>
      <c r="FL25" s="310"/>
      <c r="FM25" s="310"/>
      <c r="FN25" s="310"/>
      <c r="FO25" s="310"/>
      <c r="FP25" s="310"/>
      <c r="FQ25" s="310"/>
      <c r="FR25" s="310"/>
      <c r="FS25" s="310"/>
      <c r="FT25" s="310"/>
      <c r="FU25" s="126"/>
      <c r="FV25" s="126"/>
      <c r="FW25" s="126"/>
      <c r="FX25" s="126"/>
      <c r="FY25" s="126"/>
      <c r="FZ25" s="126"/>
      <c r="GA25" s="126"/>
      <c r="GB25" s="126"/>
      <c r="GC25" s="126"/>
      <c r="GD25" s="126"/>
    </row>
    <row r="26" spans="2:186" s="118" customFormat="1" ht="13.5" customHeight="1" x14ac:dyDescent="0.2">
      <c r="B26" s="158" t="s">
        <v>269</v>
      </c>
      <c r="C26" s="159" t="s">
        <v>222</v>
      </c>
      <c r="D26" s="170">
        <f>IF(ISNA(VLOOKUP($B26,Batting!$B$6:$D$41,3,FALSE)),0,(VLOOKUP($B26,Batting!$B$6:$D$41,3,FALSE)))</f>
        <v>7</v>
      </c>
      <c r="E26" s="171">
        <f t="shared" si="1"/>
        <v>3</v>
      </c>
      <c r="F26" s="175">
        <f t="shared" si="2"/>
        <v>8.3000000000000007</v>
      </c>
      <c r="G26" s="176">
        <f t="shared" si="3"/>
        <v>1</v>
      </c>
      <c r="H26" s="176">
        <f t="shared" si="4"/>
        <v>39</v>
      </c>
      <c r="I26" s="176">
        <f t="shared" si="5"/>
        <v>2</v>
      </c>
      <c r="J26" s="175">
        <f t="shared" si="6"/>
        <v>4.1500000000000004</v>
      </c>
      <c r="K26" s="175">
        <f t="shared" si="7"/>
        <v>4.6987951807228914</v>
      </c>
      <c r="L26" s="344">
        <f t="shared" si="8"/>
        <v>19.5</v>
      </c>
      <c r="M26" s="134"/>
      <c r="N26" s="294"/>
      <c r="O26" s="171"/>
      <c r="P26" s="171"/>
      <c r="Q26" s="176"/>
      <c r="R26" s="124"/>
      <c r="S26" s="163">
        <f t="shared" si="9"/>
        <v>32.200000000000003</v>
      </c>
      <c r="T26" s="134"/>
      <c r="U26" s="294">
        <f t="shared" si="10"/>
        <v>4.6987951807228914</v>
      </c>
      <c r="V26" s="294">
        <f t="shared" si="11"/>
        <v>19.5</v>
      </c>
      <c r="W26" s="177">
        <f t="shared" si="12"/>
        <v>0</v>
      </c>
      <c r="X26" s="122"/>
      <c r="Y26" s="296"/>
      <c r="Z26" s="171"/>
      <c r="AA26" s="171"/>
      <c r="AB26" s="171"/>
      <c r="AC26" s="319"/>
      <c r="AD26" s="296"/>
      <c r="AE26" s="171"/>
      <c r="AF26" s="171"/>
      <c r="AG26" s="171"/>
      <c r="AH26" s="319"/>
      <c r="AI26" s="296"/>
      <c r="AJ26" s="171"/>
      <c r="AK26" s="171"/>
      <c r="AL26" s="171"/>
      <c r="AM26" s="319"/>
      <c r="AN26" s="296"/>
      <c r="AO26" s="171"/>
      <c r="AP26" s="171"/>
      <c r="AQ26" s="171"/>
      <c r="AR26" s="319"/>
      <c r="AS26" s="296"/>
      <c r="AT26" s="171"/>
      <c r="AU26" s="171"/>
      <c r="AV26" s="171"/>
      <c r="AW26" s="319"/>
      <c r="AX26" s="296"/>
      <c r="AY26" s="171"/>
      <c r="AZ26" s="171"/>
      <c r="BA26" s="171"/>
      <c r="BB26" s="319"/>
      <c r="BC26" s="296"/>
      <c r="BD26" s="171"/>
      <c r="BE26" s="171"/>
      <c r="BF26" s="171"/>
      <c r="BG26" s="319"/>
      <c r="BH26" s="296"/>
      <c r="BI26" s="171"/>
      <c r="BJ26" s="171"/>
      <c r="BK26" s="171"/>
      <c r="BL26" s="319"/>
      <c r="BM26" s="296"/>
      <c r="BN26" s="171"/>
      <c r="BO26" s="171"/>
      <c r="BP26" s="171"/>
      <c r="BQ26" s="319"/>
      <c r="BR26" s="296"/>
      <c r="BS26" s="171"/>
      <c r="BT26" s="171"/>
      <c r="BU26" s="171"/>
      <c r="BV26" s="319"/>
      <c r="BW26" s="296"/>
      <c r="BX26" s="171"/>
      <c r="BY26" s="171"/>
      <c r="BZ26" s="171"/>
      <c r="CA26" s="319"/>
      <c r="CB26" s="296"/>
      <c r="CC26" s="171"/>
      <c r="CD26" s="171"/>
      <c r="CE26" s="171"/>
      <c r="CF26" s="319"/>
      <c r="CG26" s="296"/>
      <c r="CH26" s="171"/>
      <c r="CI26" s="171"/>
      <c r="CJ26" s="171"/>
      <c r="CK26" s="319"/>
      <c r="CL26" s="296">
        <v>3</v>
      </c>
      <c r="CM26" s="171">
        <v>1</v>
      </c>
      <c r="CN26" s="171">
        <v>6</v>
      </c>
      <c r="CO26" s="171">
        <v>1</v>
      </c>
      <c r="CP26" s="319"/>
      <c r="CQ26" s="296"/>
      <c r="CR26" s="171"/>
      <c r="CS26" s="171"/>
      <c r="CT26" s="171"/>
      <c r="CU26" s="319"/>
      <c r="CV26" s="296"/>
      <c r="CW26" s="171"/>
      <c r="CX26" s="171"/>
      <c r="CY26" s="171"/>
      <c r="CZ26" s="319"/>
      <c r="DA26" s="296"/>
      <c r="DB26" s="171"/>
      <c r="DC26" s="171"/>
      <c r="DD26" s="171"/>
      <c r="DE26" s="319"/>
      <c r="DF26" s="296">
        <v>4</v>
      </c>
      <c r="DG26" s="171">
        <v>0</v>
      </c>
      <c r="DH26" s="171">
        <v>25</v>
      </c>
      <c r="DI26" s="171">
        <v>0</v>
      </c>
      <c r="DJ26" s="319"/>
      <c r="DK26" s="294">
        <v>1.3</v>
      </c>
      <c r="DL26" s="171">
        <v>0</v>
      </c>
      <c r="DM26" s="171">
        <v>8</v>
      </c>
      <c r="DN26" s="171">
        <v>1</v>
      </c>
      <c r="DO26" s="319"/>
      <c r="DP26" s="296"/>
      <c r="DQ26" s="171"/>
      <c r="DR26" s="171"/>
      <c r="DS26" s="171"/>
      <c r="DT26" s="319"/>
      <c r="DU26" s="320"/>
      <c r="DV26" s="154"/>
      <c r="DW26" s="154"/>
      <c r="DX26" s="154"/>
      <c r="DY26" s="319"/>
      <c r="DZ26" s="320"/>
      <c r="EA26" s="154"/>
      <c r="EB26" s="154"/>
      <c r="EC26" s="154"/>
      <c r="ED26" s="313"/>
      <c r="EE26" s="307"/>
      <c r="EF26" s="307"/>
      <c r="EG26" s="307"/>
      <c r="EH26" s="307"/>
      <c r="EI26" s="313"/>
      <c r="EJ26" s="307"/>
      <c r="EK26" s="307"/>
      <c r="EL26" s="307"/>
      <c r="EM26" s="307"/>
      <c r="EN26" s="313"/>
      <c r="EO26" s="307"/>
      <c r="EP26" s="307"/>
      <c r="EQ26" s="307"/>
      <c r="ER26" s="307"/>
      <c r="ES26" s="313"/>
      <c r="ET26" s="307"/>
      <c r="EU26" s="307"/>
      <c r="EV26" s="307"/>
      <c r="EW26" s="307"/>
      <c r="FB26" s="132"/>
      <c r="FC26" s="261"/>
      <c r="FD26" s="132"/>
      <c r="FE26" s="132"/>
      <c r="FF26" s="132"/>
      <c r="FG26" s="315"/>
      <c r="FH26" s="315"/>
      <c r="FI26" s="317"/>
      <c r="FJ26" s="119"/>
      <c r="FK26" s="271"/>
      <c r="FL26" s="310"/>
      <c r="FM26" s="310"/>
      <c r="FN26" s="310"/>
      <c r="FO26" s="310"/>
      <c r="FP26" s="310"/>
      <c r="FQ26" s="310"/>
      <c r="FR26" s="310"/>
      <c r="FS26" s="310"/>
      <c r="FT26" s="310"/>
      <c r="FU26" s="126"/>
      <c r="FV26" s="126"/>
      <c r="FW26" s="126"/>
      <c r="FX26" s="126"/>
      <c r="FY26" s="126"/>
      <c r="FZ26" s="126"/>
      <c r="GA26" s="126"/>
      <c r="GB26" s="126"/>
      <c r="GC26" s="126"/>
      <c r="GD26" s="126"/>
    </row>
    <row r="27" spans="2:186" s="118" customFormat="1" ht="13.5" customHeight="1" x14ac:dyDescent="0.2">
      <c r="B27" s="158" t="s">
        <v>272</v>
      </c>
      <c r="C27" s="159" t="s">
        <v>190</v>
      </c>
      <c r="D27" s="170">
        <f>IF(ISNA(VLOOKUP($B27,Batting!$B$6:$D$41,3,FALSE)),0,(VLOOKUP($B27,Batting!$B$6:$D$41,3,FALSE)))</f>
        <v>2</v>
      </c>
      <c r="E27" s="171">
        <f t="shared" si="1"/>
        <v>1</v>
      </c>
      <c r="F27" s="175">
        <f t="shared" si="2"/>
        <v>1</v>
      </c>
      <c r="G27" s="176">
        <f t="shared" si="3"/>
        <v>1</v>
      </c>
      <c r="H27" s="176">
        <f t="shared" si="4"/>
        <v>0</v>
      </c>
      <c r="I27" s="176">
        <f t="shared" si="5"/>
        <v>1</v>
      </c>
      <c r="J27" s="175">
        <f t="shared" si="6"/>
        <v>1</v>
      </c>
      <c r="K27" s="175">
        <f t="shared" si="7"/>
        <v>0</v>
      </c>
      <c r="L27" s="344">
        <f t="shared" si="8"/>
        <v>0</v>
      </c>
      <c r="M27" s="134"/>
      <c r="N27" s="296"/>
      <c r="O27" s="171"/>
      <c r="P27" s="171"/>
      <c r="Q27" s="171"/>
      <c r="R27" s="124"/>
      <c r="S27" s="163">
        <f t="shared" si="9"/>
        <v>20</v>
      </c>
      <c r="T27" s="134"/>
      <c r="U27" s="294">
        <f t="shared" si="10"/>
        <v>0</v>
      </c>
      <c r="V27" s="294">
        <f t="shared" si="11"/>
        <v>0</v>
      </c>
      <c r="W27" s="177">
        <f t="shared" si="12"/>
        <v>0</v>
      </c>
      <c r="X27" s="122"/>
      <c r="Y27" s="296"/>
      <c r="Z27" s="171"/>
      <c r="AA27" s="171"/>
      <c r="AB27" s="171"/>
      <c r="AC27" s="319"/>
      <c r="AD27" s="296"/>
      <c r="AE27" s="171"/>
      <c r="AF27" s="171"/>
      <c r="AG27" s="171"/>
      <c r="AH27" s="319"/>
      <c r="AI27" s="296"/>
      <c r="AJ27" s="171"/>
      <c r="AK27" s="171"/>
      <c r="AL27" s="171"/>
      <c r="AM27" s="319"/>
      <c r="AN27" s="296"/>
      <c r="AO27" s="171"/>
      <c r="AP27" s="171"/>
      <c r="AQ27" s="171"/>
      <c r="AR27" s="319"/>
      <c r="AS27" s="296"/>
      <c r="AT27" s="171"/>
      <c r="AU27" s="171"/>
      <c r="AV27" s="171"/>
      <c r="AW27" s="319"/>
      <c r="AX27" s="296"/>
      <c r="AY27" s="171"/>
      <c r="AZ27" s="171"/>
      <c r="BA27" s="171"/>
      <c r="BB27" s="319"/>
      <c r="BC27" s="296">
        <v>1</v>
      </c>
      <c r="BD27" s="171">
        <v>1</v>
      </c>
      <c r="BE27" s="171">
        <v>0</v>
      </c>
      <c r="BF27" s="171">
        <v>1</v>
      </c>
      <c r="BG27" s="319"/>
      <c r="BH27" s="296"/>
      <c r="BI27" s="171"/>
      <c r="BJ27" s="171"/>
      <c r="BK27" s="171"/>
      <c r="BL27" s="319"/>
      <c r="BM27" s="296"/>
      <c r="BN27" s="171"/>
      <c r="BO27" s="171"/>
      <c r="BP27" s="171"/>
      <c r="BQ27" s="319"/>
      <c r="BR27" s="296"/>
      <c r="BS27" s="171"/>
      <c r="BT27" s="171"/>
      <c r="BU27" s="171"/>
      <c r="BV27" s="319"/>
      <c r="BW27" s="296"/>
      <c r="BX27" s="171"/>
      <c r="BY27" s="171"/>
      <c r="BZ27" s="171"/>
      <c r="CA27" s="319"/>
      <c r="CB27" s="296"/>
      <c r="CC27" s="171"/>
      <c r="CD27" s="171"/>
      <c r="CE27" s="171"/>
      <c r="CF27" s="319"/>
      <c r="CG27" s="296"/>
      <c r="CH27" s="171"/>
      <c r="CI27" s="171"/>
      <c r="CJ27" s="171"/>
      <c r="CK27" s="319"/>
      <c r="CL27" s="296"/>
      <c r="CM27" s="171"/>
      <c r="CN27" s="171"/>
      <c r="CO27" s="171"/>
      <c r="CP27" s="319"/>
      <c r="CQ27" s="296"/>
      <c r="CR27" s="171"/>
      <c r="CS27" s="171"/>
      <c r="CT27" s="171"/>
      <c r="CU27" s="319"/>
      <c r="CV27" s="296"/>
      <c r="CW27" s="171"/>
      <c r="CX27" s="171"/>
      <c r="CY27" s="171"/>
      <c r="CZ27" s="319"/>
      <c r="DA27" s="296"/>
      <c r="DB27" s="171"/>
      <c r="DC27" s="171"/>
      <c r="DD27" s="171"/>
      <c r="DE27" s="319"/>
      <c r="DF27" s="296"/>
      <c r="DG27" s="171"/>
      <c r="DH27" s="171"/>
      <c r="DI27" s="171"/>
      <c r="DJ27" s="319"/>
      <c r="DK27" s="296"/>
      <c r="DL27" s="171"/>
      <c r="DM27" s="171"/>
      <c r="DN27" s="171"/>
      <c r="DO27" s="319"/>
      <c r="DP27" s="296"/>
      <c r="DQ27" s="171"/>
      <c r="DR27" s="171"/>
      <c r="DS27" s="171"/>
      <c r="DT27" s="319"/>
      <c r="DU27" s="320"/>
      <c r="DV27" s="154"/>
      <c r="DW27" s="154"/>
      <c r="DX27" s="154"/>
      <c r="DY27" s="319"/>
      <c r="DZ27" s="320"/>
      <c r="EA27" s="154"/>
      <c r="EB27" s="154"/>
      <c r="EC27" s="154"/>
      <c r="ED27" s="313"/>
      <c r="EE27" s="307"/>
      <c r="EF27" s="307"/>
      <c r="EG27" s="307"/>
      <c r="EH27" s="307"/>
      <c r="EI27" s="313"/>
      <c r="EJ27" s="307"/>
      <c r="EK27" s="307"/>
      <c r="EL27" s="307"/>
      <c r="EM27" s="307"/>
      <c r="EN27" s="313"/>
      <c r="EO27" s="307"/>
      <c r="EP27" s="307"/>
      <c r="EQ27" s="307"/>
      <c r="ER27" s="307"/>
      <c r="ES27" s="313"/>
      <c r="ET27" s="307"/>
      <c r="EU27" s="307"/>
      <c r="EV27" s="307"/>
      <c r="EW27" s="307"/>
      <c r="FB27" s="132"/>
      <c r="FC27" s="261"/>
      <c r="FD27" s="132"/>
      <c r="FE27" s="132"/>
      <c r="FF27" s="132"/>
      <c r="FG27" s="315"/>
      <c r="FH27" s="315"/>
      <c r="FI27" s="317"/>
      <c r="FJ27" s="119"/>
      <c r="FK27" s="271"/>
      <c r="FL27" s="310"/>
      <c r="FM27" s="310"/>
      <c r="FN27" s="310"/>
      <c r="FO27" s="310"/>
      <c r="FP27" s="310"/>
      <c r="FQ27" s="310"/>
      <c r="FR27" s="310"/>
      <c r="FS27" s="310"/>
      <c r="FT27" s="310"/>
      <c r="FU27" s="126"/>
      <c r="FV27" s="126"/>
      <c r="FW27" s="126"/>
      <c r="FX27" s="126"/>
      <c r="FY27" s="126"/>
      <c r="FZ27" s="126"/>
      <c r="GA27" s="126"/>
      <c r="GB27" s="126"/>
      <c r="GC27" s="126"/>
      <c r="GD27" s="126"/>
    </row>
    <row r="28" spans="2:186" s="118" customFormat="1" ht="13.5" customHeight="1" x14ac:dyDescent="0.2">
      <c r="B28" s="158" t="s">
        <v>279</v>
      </c>
      <c r="C28" s="159" t="s">
        <v>280</v>
      </c>
      <c r="D28" s="170">
        <f>IF(ISNA(VLOOKUP($B28,Batting!$B$6:$D$41,3,FALSE)),0,(VLOOKUP($B28,Batting!$B$6:$D$41,3,FALSE)))</f>
        <v>1</v>
      </c>
      <c r="E28" s="171">
        <f t="shared" si="1"/>
        <v>1</v>
      </c>
      <c r="F28" s="175">
        <f t="shared" si="2"/>
        <v>1</v>
      </c>
      <c r="G28" s="176">
        <f t="shared" si="3"/>
        <v>0</v>
      </c>
      <c r="H28" s="176">
        <f t="shared" si="4"/>
        <v>9</v>
      </c>
      <c r="I28" s="176">
        <f t="shared" si="5"/>
        <v>1</v>
      </c>
      <c r="J28" s="175">
        <f t="shared" si="6"/>
        <v>1</v>
      </c>
      <c r="K28" s="175">
        <f t="shared" si="7"/>
        <v>9</v>
      </c>
      <c r="L28" s="344">
        <f t="shared" si="8"/>
        <v>9</v>
      </c>
      <c r="M28" s="134"/>
      <c r="N28" s="296"/>
      <c r="O28" s="171"/>
      <c r="P28" s="171"/>
      <c r="Q28" s="171"/>
      <c r="R28" s="124"/>
      <c r="S28" s="163">
        <f t="shared" si="9"/>
        <v>18.2</v>
      </c>
      <c r="T28" s="134"/>
      <c r="U28" s="294">
        <f t="shared" si="10"/>
        <v>9</v>
      </c>
      <c r="V28" s="294">
        <f t="shared" si="11"/>
        <v>9</v>
      </c>
      <c r="W28" s="177">
        <f t="shared" si="12"/>
        <v>0</v>
      </c>
      <c r="X28" s="122"/>
      <c r="Y28" s="296"/>
      <c r="Z28" s="171"/>
      <c r="AA28" s="171"/>
      <c r="AB28" s="171"/>
      <c r="AC28" s="319"/>
      <c r="AD28" s="296"/>
      <c r="AE28" s="171"/>
      <c r="AF28" s="171"/>
      <c r="AG28" s="171"/>
      <c r="AH28" s="319"/>
      <c r="AI28" s="296"/>
      <c r="AJ28" s="171"/>
      <c r="AK28" s="171"/>
      <c r="AL28" s="171"/>
      <c r="AM28" s="319"/>
      <c r="AN28" s="296"/>
      <c r="AO28" s="171"/>
      <c r="AP28" s="171"/>
      <c r="AQ28" s="171"/>
      <c r="AR28" s="319"/>
      <c r="AS28" s="296"/>
      <c r="AT28" s="171"/>
      <c r="AU28" s="171"/>
      <c r="AV28" s="171"/>
      <c r="AW28" s="319"/>
      <c r="AX28" s="296"/>
      <c r="AY28" s="171"/>
      <c r="AZ28" s="171"/>
      <c r="BA28" s="171"/>
      <c r="BB28" s="319"/>
      <c r="BC28" s="296"/>
      <c r="BD28" s="171"/>
      <c r="BE28" s="171"/>
      <c r="BF28" s="171"/>
      <c r="BG28" s="319"/>
      <c r="BH28" s="296"/>
      <c r="BI28" s="171"/>
      <c r="BJ28" s="171"/>
      <c r="BK28" s="171"/>
      <c r="BL28" s="319"/>
      <c r="BM28" s="296"/>
      <c r="BN28" s="171"/>
      <c r="BO28" s="171"/>
      <c r="BP28" s="171"/>
      <c r="BQ28" s="319"/>
      <c r="BR28" s="296">
        <v>1</v>
      </c>
      <c r="BS28" s="171">
        <v>0</v>
      </c>
      <c r="BT28" s="171">
        <v>9</v>
      </c>
      <c r="BU28" s="171">
        <v>1</v>
      </c>
      <c r="BV28" s="319"/>
      <c r="BW28" s="296"/>
      <c r="BX28" s="171"/>
      <c r="BY28" s="171"/>
      <c r="BZ28" s="171"/>
      <c r="CA28" s="319"/>
      <c r="CB28" s="296"/>
      <c r="CC28" s="171"/>
      <c r="CD28" s="171"/>
      <c r="CE28" s="171"/>
      <c r="CF28" s="319"/>
      <c r="CG28" s="296"/>
      <c r="CH28" s="171"/>
      <c r="CI28" s="171"/>
      <c r="CJ28" s="171"/>
      <c r="CK28" s="319"/>
      <c r="CL28" s="296"/>
      <c r="CM28" s="171"/>
      <c r="CN28" s="171"/>
      <c r="CO28" s="171"/>
      <c r="CP28" s="319"/>
      <c r="CQ28" s="296"/>
      <c r="CR28" s="171"/>
      <c r="CS28" s="171"/>
      <c r="CT28" s="171"/>
      <c r="CU28" s="319"/>
      <c r="CV28" s="296"/>
      <c r="CW28" s="171"/>
      <c r="CX28" s="171"/>
      <c r="CY28" s="171"/>
      <c r="CZ28" s="319"/>
      <c r="DA28" s="296"/>
      <c r="DB28" s="171"/>
      <c r="DC28" s="171"/>
      <c r="DD28" s="171"/>
      <c r="DE28" s="319"/>
      <c r="DF28" s="296"/>
      <c r="DG28" s="171"/>
      <c r="DH28" s="171"/>
      <c r="DI28" s="171"/>
      <c r="DJ28" s="319"/>
      <c r="DK28" s="296"/>
      <c r="DL28" s="171"/>
      <c r="DM28" s="171"/>
      <c r="DN28" s="171"/>
      <c r="DO28" s="319"/>
      <c r="DP28" s="296"/>
      <c r="DQ28" s="171"/>
      <c r="DR28" s="171"/>
      <c r="DS28" s="171"/>
      <c r="DT28" s="319"/>
      <c r="DU28" s="320"/>
      <c r="DV28" s="154"/>
      <c r="DW28" s="154"/>
      <c r="DX28" s="154"/>
      <c r="DY28" s="319"/>
      <c r="DZ28" s="320"/>
      <c r="EA28" s="154"/>
      <c r="EB28" s="154"/>
      <c r="EC28" s="154"/>
      <c r="ED28" s="313"/>
      <c r="EE28" s="307"/>
      <c r="EF28" s="307"/>
      <c r="EG28" s="307"/>
      <c r="EH28" s="307"/>
      <c r="EI28" s="313"/>
      <c r="EJ28" s="307"/>
      <c r="EK28" s="307"/>
      <c r="EL28" s="307"/>
      <c r="EM28" s="307"/>
      <c r="EN28" s="313"/>
      <c r="EO28" s="307"/>
      <c r="EP28" s="307"/>
      <c r="EQ28" s="307"/>
      <c r="ER28" s="307"/>
      <c r="ES28" s="313"/>
      <c r="ET28" s="307"/>
      <c r="EU28" s="307"/>
      <c r="EV28" s="307"/>
      <c r="EW28" s="307"/>
      <c r="FB28" s="132"/>
      <c r="FC28" s="261"/>
      <c r="FD28" s="132"/>
      <c r="FE28" s="132"/>
      <c r="FF28" s="132"/>
      <c r="FG28" s="315"/>
      <c r="FH28" s="315"/>
      <c r="FI28" s="317"/>
      <c r="FJ28" s="119"/>
      <c r="FK28" s="271"/>
      <c r="FL28" s="310"/>
      <c r="FM28" s="310"/>
      <c r="FN28" s="310"/>
      <c r="FO28" s="310"/>
      <c r="FP28" s="310"/>
      <c r="FQ28" s="310"/>
      <c r="FR28" s="310"/>
      <c r="FS28" s="310"/>
      <c r="FT28" s="310"/>
      <c r="FU28" s="126"/>
      <c r="FV28" s="126"/>
      <c r="FW28" s="126"/>
      <c r="FX28" s="126"/>
      <c r="FY28" s="126"/>
      <c r="FZ28" s="126"/>
      <c r="GA28" s="126"/>
      <c r="GB28" s="126"/>
      <c r="GC28" s="126"/>
      <c r="GD28" s="126"/>
    </row>
    <row r="29" spans="2:186" s="118" customFormat="1" ht="13.5" customHeight="1" x14ac:dyDescent="0.2">
      <c r="B29" s="158" t="s">
        <v>268</v>
      </c>
      <c r="C29" s="159" t="s">
        <v>189</v>
      </c>
      <c r="D29" s="170">
        <f>IF(ISNA(VLOOKUP($B29,Batting!$B$6:$D$41,3,FALSE)),0,(VLOOKUP($B29,Batting!$B$6:$D$41,3,FALSE)))</f>
        <v>2</v>
      </c>
      <c r="E29" s="171">
        <f t="shared" ref="E29:E36" si="13">IF(COUNT(Y29,AD29,AI29,AN29,AS29,AX29,BC29,BH29,BM29,BR29,BW29,CB29,CG29,CL29,CQ29,CV29,DA29,DF29,DK29,DP29)=0,"-",COUNT(Y29,AD29,AI29,AN29,AS29,AX29,BC29,BH29,BM29,BR29,BW29,CB29,CG29,CL29,CQ29,CV29,DA29,DF29,DK29,DP29))</f>
        <v>1</v>
      </c>
      <c r="F29" s="175">
        <f t="shared" si="2"/>
        <v>3</v>
      </c>
      <c r="G29" s="176">
        <f t="shared" si="3"/>
        <v>0</v>
      </c>
      <c r="H29" s="176">
        <f t="shared" si="4"/>
        <v>44</v>
      </c>
      <c r="I29" s="176">
        <f t="shared" si="5"/>
        <v>0</v>
      </c>
      <c r="J29" s="175" t="str">
        <f t="shared" ref="J29:J36" si="14">IF(I29=0,"-",F29/I29)</f>
        <v>-</v>
      </c>
      <c r="K29" s="175">
        <f t="shared" ref="K29:K36" si="15">IF(F29=0,"-",H29/F29)</f>
        <v>14.666666666666666</v>
      </c>
      <c r="L29" s="344" t="str">
        <f t="shared" ref="L29:L36" si="16">IF(I29=0,"-",H29/I29)</f>
        <v>-</v>
      </c>
      <c r="M29" s="134"/>
      <c r="N29" s="296"/>
      <c r="O29" s="171"/>
      <c r="P29" s="171"/>
      <c r="Q29" s="171"/>
      <c r="R29" s="124"/>
      <c r="S29" s="163">
        <f t="shared" ref="S29:S36" si="17">(I29*20)-(H29/5)</f>
        <v>-8.8000000000000007</v>
      </c>
      <c r="T29" s="134"/>
      <c r="U29" s="294">
        <f t="shared" si="10"/>
        <v>14.666666666666666</v>
      </c>
      <c r="V29" s="294">
        <f t="shared" si="11"/>
        <v>44</v>
      </c>
      <c r="W29" s="177">
        <f t="shared" si="12"/>
        <v>0</v>
      </c>
      <c r="X29" s="122"/>
      <c r="Y29" s="296"/>
      <c r="Z29" s="171"/>
      <c r="AA29" s="171"/>
      <c r="AB29" s="171"/>
      <c r="AC29" s="319"/>
      <c r="AD29" s="296"/>
      <c r="AE29" s="171"/>
      <c r="AF29" s="171"/>
      <c r="AG29" s="171"/>
      <c r="AH29" s="319"/>
      <c r="AI29" s="296"/>
      <c r="AJ29" s="171"/>
      <c r="AK29" s="171"/>
      <c r="AL29" s="171"/>
      <c r="AM29" s="319"/>
      <c r="AN29" s="296">
        <v>3</v>
      </c>
      <c r="AO29" s="171">
        <v>0</v>
      </c>
      <c r="AP29" s="171">
        <v>44</v>
      </c>
      <c r="AQ29" s="171">
        <v>0</v>
      </c>
      <c r="AR29" s="319"/>
      <c r="AS29" s="296"/>
      <c r="AT29" s="171"/>
      <c r="AU29" s="171"/>
      <c r="AV29" s="171"/>
      <c r="AW29" s="319"/>
      <c r="AX29" s="296"/>
      <c r="AY29" s="171"/>
      <c r="AZ29" s="171"/>
      <c r="BA29" s="171"/>
      <c r="BB29" s="319"/>
      <c r="BC29" s="296"/>
      <c r="BD29" s="171"/>
      <c r="BE29" s="171"/>
      <c r="BF29" s="171"/>
      <c r="BG29" s="319"/>
      <c r="BH29" s="296"/>
      <c r="BI29" s="171"/>
      <c r="BJ29" s="171"/>
      <c r="BK29" s="171"/>
      <c r="BL29" s="319"/>
      <c r="BM29" s="296"/>
      <c r="BN29" s="171"/>
      <c r="BO29" s="171"/>
      <c r="BP29" s="171"/>
      <c r="BQ29" s="319"/>
      <c r="BR29" s="296"/>
      <c r="BS29" s="171"/>
      <c r="BT29" s="171"/>
      <c r="BU29" s="171"/>
      <c r="BV29" s="319"/>
      <c r="BW29" s="296"/>
      <c r="BX29" s="171"/>
      <c r="BY29" s="171"/>
      <c r="BZ29" s="171"/>
      <c r="CA29" s="319"/>
      <c r="CB29" s="296"/>
      <c r="CC29" s="171"/>
      <c r="CD29" s="171"/>
      <c r="CE29" s="171"/>
      <c r="CF29" s="319"/>
      <c r="CG29" s="296"/>
      <c r="CH29" s="171"/>
      <c r="CI29" s="171"/>
      <c r="CJ29" s="171"/>
      <c r="CK29" s="319"/>
      <c r="CL29" s="296"/>
      <c r="CM29" s="171"/>
      <c r="CN29" s="171"/>
      <c r="CO29" s="171"/>
      <c r="CP29" s="319"/>
      <c r="CQ29" s="296"/>
      <c r="CR29" s="171"/>
      <c r="CS29" s="171"/>
      <c r="CT29" s="171"/>
      <c r="CU29" s="319"/>
      <c r="CV29" s="296"/>
      <c r="CW29" s="171"/>
      <c r="CX29" s="171"/>
      <c r="CY29" s="171"/>
      <c r="CZ29" s="319"/>
      <c r="DA29" s="296"/>
      <c r="DB29" s="171"/>
      <c r="DC29" s="171"/>
      <c r="DD29" s="171"/>
      <c r="DE29" s="319"/>
      <c r="DF29" s="296"/>
      <c r="DG29" s="171"/>
      <c r="DH29" s="171"/>
      <c r="DI29" s="171"/>
      <c r="DJ29" s="319"/>
      <c r="DK29" s="296"/>
      <c r="DL29" s="171"/>
      <c r="DM29" s="171"/>
      <c r="DN29" s="171"/>
      <c r="DO29" s="319"/>
      <c r="DP29" s="296"/>
      <c r="DQ29" s="171"/>
      <c r="DR29" s="171"/>
      <c r="DS29" s="171"/>
      <c r="DT29" s="319"/>
      <c r="DU29" s="320"/>
      <c r="DV29" s="154"/>
      <c r="DW29" s="154"/>
      <c r="DX29" s="154"/>
      <c r="DY29" s="319"/>
      <c r="DZ29" s="320"/>
      <c r="EA29" s="154"/>
      <c r="EB29" s="154"/>
      <c r="EC29" s="154"/>
      <c r="ED29" s="313"/>
      <c r="EE29" s="307"/>
      <c r="EF29" s="307"/>
      <c r="EG29" s="307"/>
      <c r="EH29" s="307"/>
      <c r="EI29" s="313"/>
      <c r="EJ29" s="307"/>
      <c r="EK29" s="307"/>
      <c r="EL29" s="307"/>
      <c r="EM29" s="307"/>
      <c r="EN29" s="313"/>
      <c r="EO29" s="307"/>
      <c r="EP29" s="307"/>
      <c r="EQ29" s="307"/>
      <c r="ER29" s="307"/>
      <c r="ES29" s="313"/>
      <c r="ET29" s="307"/>
      <c r="EU29" s="307"/>
      <c r="EV29" s="307"/>
      <c r="EW29" s="307"/>
      <c r="FB29" s="132"/>
      <c r="FC29" s="261"/>
      <c r="FD29" s="132"/>
      <c r="FE29" s="132"/>
      <c r="FF29" s="132"/>
      <c r="FG29" s="315"/>
      <c r="FH29" s="315"/>
      <c r="FI29" s="317"/>
      <c r="FJ29" s="119"/>
      <c r="FK29" s="271"/>
      <c r="FL29" s="310"/>
      <c r="FM29" s="310"/>
      <c r="FN29" s="310"/>
      <c r="FO29" s="310"/>
      <c r="FP29" s="310"/>
      <c r="FQ29" s="310"/>
      <c r="FR29" s="310"/>
      <c r="FS29" s="310"/>
      <c r="FT29" s="310"/>
      <c r="FU29" s="126"/>
      <c r="FV29" s="126"/>
      <c r="FW29" s="126"/>
      <c r="FX29" s="126"/>
      <c r="FY29" s="126"/>
      <c r="FZ29" s="126"/>
      <c r="GA29" s="126"/>
      <c r="GB29" s="126"/>
      <c r="GC29" s="126"/>
      <c r="GD29" s="126"/>
    </row>
    <row r="30" spans="2:186" s="118" customFormat="1" ht="13.5" customHeight="1" x14ac:dyDescent="0.2">
      <c r="B30" s="158" t="s">
        <v>277</v>
      </c>
      <c r="C30" s="159" t="s">
        <v>274</v>
      </c>
      <c r="D30" s="170">
        <f>IF(ISNA(VLOOKUP($B30,Batting!$B$6:$D$41,3,FALSE)),0,(VLOOKUP($B30,Batting!$B$6:$D$41,3,FALSE)))</f>
        <v>1</v>
      </c>
      <c r="E30" s="171">
        <f t="shared" si="13"/>
        <v>1</v>
      </c>
      <c r="F30" s="175">
        <f t="shared" si="2"/>
        <v>2</v>
      </c>
      <c r="G30" s="176">
        <f t="shared" si="3"/>
        <v>0</v>
      </c>
      <c r="H30" s="176">
        <f t="shared" si="4"/>
        <v>12</v>
      </c>
      <c r="I30" s="176">
        <f t="shared" si="5"/>
        <v>0</v>
      </c>
      <c r="J30" s="175" t="str">
        <f t="shared" si="14"/>
        <v>-</v>
      </c>
      <c r="K30" s="175">
        <f t="shared" si="15"/>
        <v>6</v>
      </c>
      <c r="L30" s="344" t="str">
        <f t="shared" si="16"/>
        <v>-</v>
      </c>
      <c r="M30" s="134"/>
      <c r="N30" s="296"/>
      <c r="O30" s="171"/>
      <c r="P30" s="171"/>
      <c r="Q30" s="171"/>
      <c r="R30" s="124"/>
      <c r="S30" s="163">
        <f t="shared" si="17"/>
        <v>-2.4</v>
      </c>
      <c r="T30" s="134"/>
      <c r="U30" s="294">
        <f t="shared" si="10"/>
        <v>6</v>
      </c>
      <c r="V30" s="294">
        <f t="shared" si="11"/>
        <v>12</v>
      </c>
      <c r="W30" s="177">
        <f t="shared" si="12"/>
        <v>0</v>
      </c>
      <c r="X30" s="122"/>
      <c r="Y30" s="296"/>
      <c r="Z30" s="171"/>
      <c r="AA30" s="171"/>
      <c r="AB30" s="171"/>
      <c r="AC30" s="319"/>
      <c r="AD30" s="296"/>
      <c r="AE30" s="171"/>
      <c r="AF30" s="171"/>
      <c r="AG30" s="171"/>
      <c r="AH30" s="319"/>
      <c r="AI30" s="296"/>
      <c r="AJ30" s="171"/>
      <c r="AK30" s="171"/>
      <c r="AL30" s="171"/>
      <c r="AM30" s="319"/>
      <c r="AN30" s="296"/>
      <c r="AO30" s="171"/>
      <c r="AP30" s="171"/>
      <c r="AQ30" s="171"/>
      <c r="AR30" s="319"/>
      <c r="AS30" s="296"/>
      <c r="AT30" s="171"/>
      <c r="AU30" s="171"/>
      <c r="AV30" s="171"/>
      <c r="AW30" s="319"/>
      <c r="AX30" s="296"/>
      <c r="AY30" s="171"/>
      <c r="AZ30" s="171"/>
      <c r="BA30" s="171"/>
      <c r="BB30" s="319"/>
      <c r="BC30" s="296"/>
      <c r="BD30" s="171"/>
      <c r="BE30" s="171"/>
      <c r="BF30" s="171"/>
      <c r="BG30" s="319"/>
      <c r="BH30" s="296">
        <v>2</v>
      </c>
      <c r="BI30" s="171">
        <v>0</v>
      </c>
      <c r="BJ30" s="171">
        <v>12</v>
      </c>
      <c r="BK30" s="171">
        <v>0</v>
      </c>
      <c r="BL30" s="319"/>
      <c r="BM30" s="296"/>
      <c r="BN30" s="171"/>
      <c r="BO30" s="171"/>
      <c r="BP30" s="171"/>
      <c r="BQ30" s="319"/>
      <c r="BR30" s="296"/>
      <c r="BS30" s="171"/>
      <c r="BT30" s="171"/>
      <c r="BU30" s="171"/>
      <c r="BV30" s="319"/>
      <c r="BW30" s="296"/>
      <c r="BX30" s="171"/>
      <c r="BY30" s="171"/>
      <c r="BZ30" s="171"/>
      <c r="CA30" s="319"/>
      <c r="CB30" s="296"/>
      <c r="CC30" s="171"/>
      <c r="CD30" s="171"/>
      <c r="CE30" s="171"/>
      <c r="CF30" s="319"/>
      <c r="CG30" s="296"/>
      <c r="CH30" s="171"/>
      <c r="CI30" s="171"/>
      <c r="CJ30" s="171"/>
      <c r="CK30" s="319"/>
      <c r="CL30" s="296"/>
      <c r="CM30" s="171"/>
      <c r="CN30" s="171"/>
      <c r="CO30" s="171"/>
      <c r="CP30" s="319"/>
      <c r="CQ30" s="296"/>
      <c r="CR30" s="171"/>
      <c r="CS30" s="171"/>
      <c r="CT30" s="171"/>
      <c r="CU30" s="319"/>
      <c r="CV30" s="296"/>
      <c r="CW30" s="171"/>
      <c r="CX30" s="171"/>
      <c r="CY30" s="171"/>
      <c r="CZ30" s="319"/>
      <c r="DA30" s="296"/>
      <c r="DB30" s="171"/>
      <c r="DC30" s="171"/>
      <c r="DD30" s="171"/>
      <c r="DE30" s="319"/>
      <c r="DF30" s="296"/>
      <c r="DG30" s="171"/>
      <c r="DH30" s="171"/>
      <c r="DI30" s="171"/>
      <c r="DJ30" s="319"/>
      <c r="DK30" s="296"/>
      <c r="DL30" s="171"/>
      <c r="DM30" s="171"/>
      <c r="DN30" s="171"/>
      <c r="DO30" s="319"/>
      <c r="DP30" s="296"/>
      <c r="DQ30" s="171"/>
      <c r="DR30" s="171"/>
      <c r="DS30" s="171"/>
      <c r="DT30" s="319"/>
      <c r="DU30" s="320"/>
      <c r="DV30" s="154"/>
      <c r="DW30" s="154"/>
      <c r="DX30" s="154"/>
      <c r="DY30" s="319"/>
      <c r="DZ30" s="320"/>
      <c r="EA30" s="154"/>
      <c r="EB30" s="154"/>
      <c r="EC30" s="154"/>
      <c r="ED30" s="313"/>
      <c r="EE30" s="307"/>
      <c r="EF30" s="307"/>
      <c r="EG30" s="307"/>
      <c r="EH30" s="307"/>
      <c r="EI30" s="313"/>
      <c r="EJ30" s="307"/>
      <c r="EK30" s="307"/>
      <c r="EL30" s="307"/>
      <c r="EM30" s="307"/>
      <c r="EN30" s="313"/>
      <c r="EO30" s="307"/>
      <c r="EP30" s="307"/>
      <c r="EQ30" s="307"/>
      <c r="ER30" s="307"/>
      <c r="ES30" s="313"/>
      <c r="ET30" s="307"/>
      <c r="EU30" s="307"/>
      <c r="EV30" s="307"/>
      <c r="EW30" s="307"/>
      <c r="FB30" s="132"/>
      <c r="FC30" s="261"/>
      <c r="FD30" s="132"/>
      <c r="FE30" s="132"/>
      <c r="FF30" s="132"/>
      <c r="FG30" s="315"/>
      <c r="FH30" s="315"/>
      <c r="FI30" s="317"/>
      <c r="FJ30" s="119"/>
      <c r="FK30" s="271"/>
      <c r="FL30" s="310"/>
      <c r="FM30" s="310"/>
      <c r="FN30" s="310"/>
      <c r="FO30" s="310"/>
      <c r="FP30" s="310"/>
      <c r="FQ30" s="310"/>
      <c r="FR30" s="310"/>
      <c r="FS30" s="310"/>
      <c r="FT30" s="310"/>
      <c r="FU30" s="126"/>
      <c r="FV30" s="126"/>
      <c r="FW30" s="126"/>
      <c r="FX30" s="126"/>
      <c r="FY30" s="126"/>
      <c r="FZ30" s="126"/>
      <c r="GA30" s="126"/>
      <c r="GB30" s="126"/>
      <c r="GC30" s="126"/>
      <c r="GD30" s="126"/>
    </row>
    <row r="31" spans="2:186" s="118" customFormat="1" ht="13.5" customHeight="1" x14ac:dyDescent="0.2">
      <c r="B31" s="158" t="s">
        <v>186</v>
      </c>
      <c r="C31" s="159" t="s">
        <v>189</v>
      </c>
      <c r="D31" s="170">
        <f>IF(ISNA(VLOOKUP($B31,Batting!$B$6:$D$41,3,FALSE)),0,(VLOOKUP($B31,Batting!$B$6:$D$41,3,FALSE)))</f>
        <v>3</v>
      </c>
      <c r="E31" s="171">
        <f t="shared" si="13"/>
        <v>3</v>
      </c>
      <c r="F31" s="175">
        <f t="shared" si="2"/>
        <v>16.2</v>
      </c>
      <c r="G31" s="176">
        <f t="shared" si="3"/>
        <v>7</v>
      </c>
      <c r="H31" s="176">
        <f t="shared" si="4"/>
        <v>44</v>
      </c>
      <c r="I31" s="176">
        <f t="shared" si="5"/>
        <v>1</v>
      </c>
      <c r="J31" s="175">
        <f t="shared" si="14"/>
        <v>16.2</v>
      </c>
      <c r="K31" s="175">
        <f t="shared" si="15"/>
        <v>2.7160493827160495</v>
      </c>
      <c r="L31" s="344">
        <f t="shared" si="16"/>
        <v>44</v>
      </c>
      <c r="M31" s="134"/>
      <c r="N31" s="294"/>
      <c r="O31" s="171"/>
      <c r="P31" s="171"/>
      <c r="Q31" s="171"/>
      <c r="R31" s="124"/>
      <c r="S31" s="163">
        <f t="shared" si="17"/>
        <v>11.2</v>
      </c>
      <c r="T31" s="134"/>
      <c r="U31" s="294">
        <f t="shared" si="10"/>
        <v>4.0736342042755345</v>
      </c>
      <c r="V31" s="294">
        <f t="shared" si="11"/>
        <v>19.055555555555557</v>
      </c>
      <c r="W31" s="177">
        <f t="shared" si="12"/>
        <v>4.5</v>
      </c>
      <c r="X31" s="122"/>
      <c r="Y31" s="296"/>
      <c r="Z31" s="171"/>
      <c r="AA31" s="171"/>
      <c r="AB31" s="171"/>
      <c r="AC31" s="319"/>
      <c r="AD31" s="296"/>
      <c r="AE31" s="171"/>
      <c r="AF31" s="171"/>
      <c r="AG31" s="171"/>
      <c r="AH31" s="319"/>
      <c r="AI31" s="296"/>
      <c r="AJ31" s="171"/>
      <c r="AK31" s="171"/>
      <c r="AL31" s="171"/>
      <c r="AM31" s="319"/>
      <c r="AN31" s="296"/>
      <c r="AO31" s="171"/>
      <c r="AP31" s="171"/>
      <c r="AQ31" s="171"/>
      <c r="AR31" s="319"/>
      <c r="AS31" s="296"/>
      <c r="AT31" s="171"/>
      <c r="AU31" s="171"/>
      <c r="AV31" s="171"/>
      <c r="AW31" s="319"/>
      <c r="AX31" s="296"/>
      <c r="AY31" s="171"/>
      <c r="AZ31" s="171"/>
      <c r="BA31" s="171"/>
      <c r="BB31" s="319"/>
      <c r="BC31" s="296"/>
      <c r="BD31" s="171"/>
      <c r="BE31" s="171"/>
      <c r="BF31" s="171"/>
      <c r="BG31" s="319"/>
      <c r="BH31" s="296">
        <v>1.2</v>
      </c>
      <c r="BI31" s="171">
        <v>0</v>
      </c>
      <c r="BJ31" s="171">
        <v>10</v>
      </c>
      <c r="BK31" s="171">
        <v>0</v>
      </c>
      <c r="BL31" s="319"/>
      <c r="BM31" s="296"/>
      <c r="BN31" s="171"/>
      <c r="BO31" s="171"/>
      <c r="BP31" s="171"/>
      <c r="BQ31" s="319"/>
      <c r="BR31" s="296"/>
      <c r="BS31" s="171"/>
      <c r="BT31" s="171"/>
      <c r="BU31" s="171"/>
      <c r="BV31" s="319"/>
      <c r="BW31" s="296"/>
      <c r="BX31" s="171"/>
      <c r="BY31" s="171"/>
      <c r="BZ31" s="171"/>
      <c r="CA31" s="319"/>
      <c r="CB31" s="296"/>
      <c r="CC31" s="171"/>
      <c r="CD31" s="171"/>
      <c r="CE31" s="171"/>
      <c r="CF31" s="319"/>
      <c r="CG31" s="296"/>
      <c r="CH31" s="171"/>
      <c r="CI31" s="171"/>
      <c r="CJ31" s="171"/>
      <c r="CK31" s="319"/>
      <c r="CL31" s="296"/>
      <c r="CM31" s="171"/>
      <c r="CN31" s="171"/>
      <c r="CO31" s="171"/>
      <c r="CP31" s="319"/>
      <c r="CQ31" s="296"/>
      <c r="CR31" s="171"/>
      <c r="CS31" s="171"/>
      <c r="CT31" s="171"/>
      <c r="CU31" s="319"/>
      <c r="CV31" s="296"/>
      <c r="CW31" s="171"/>
      <c r="CX31" s="171"/>
      <c r="CY31" s="171"/>
      <c r="CZ31" s="319"/>
      <c r="DA31" s="296"/>
      <c r="DB31" s="171"/>
      <c r="DC31" s="171"/>
      <c r="DD31" s="171"/>
      <c r="DE31" s="319"/>
      <c r="DF31" s="296">
        <v>7</v>
      </c>
      <c r="DG31" s="171">
        <v>2</v>
      </c>
      <c r="DH31" s="171">
        <v>19</v>
      </c>
      <c r="DI31" s="171">
        <v>1</v>
      </c>
      <c r="DJ31" s="319"/>
      <c r="DK31" s="296">
        <v>8</v>
      </c>
      <c r="DL31" s="171">
        <v>5</v>
      </c>
      <c r="DM31" s="171">
        <v>15</v>
      </c>
      <c r="DN31" s="171">
        <v>0</v>
      </c>
      <c r="DO31" s="319"/>
      <c r="DP31" s="296"/>
      <c r="DQ31" s="171"/>
      <c r="DR31" s="171"/>
      <c r="DS31" s="171"/>
      <c r="DT31" s="319"/>
      <c r="DU31" s="320"/>
      <c r="DV31" s="154"/>
      <c r="DW31" s="154"/>
      <c r="DX31" s="154"/>
      <c r="DY31" s="319"/>
      <c r="DZ31" s="320"/>
      <c r="EA31" s="154"/>
      <c r="EB31" s="154"/>
      <c r="EC31" s="154"/>
      <c r="ED31" s="313"/>
      <c r="EE31" s="307"/>
      <c r="EF31" s="307"/>
      <c r="EG31" s="307"/>
      <c r="EH31" s="307"/>
      <c r="EI31" s="313"/>
      <c r="EJ31" s="307"/>
      <c r="EK31" s="307"/>
      <c r="EL31" s="307"/>
      <c r="EM31" s="307"/>
      <c r="EN31" s="313"/>
      <c r="EO31" s="307"/>
      <c r="EP31" s="307"/>
      <c r="EQ31" s="307"/>
      <c r="ER31" s="307"/>
      <c r="ES31" s="313"/>
      <c r="ET31" s="307"/>
      <c r="EU31" s="307"/>
      <c r="EV31" s="307"/>
      <c r="EW31" s="307"/>
      <c r="FB31" s="132">
        <v>13</v>
      </c>
      <c r="FC31" s="261">
        <v>68</v>
      </c>
      <c r="FD31" s="132">
        <v>6</v>
      </c>
      <c r="FE31" s="132">
        <v>299</v>
      </c>
      <c r="FF31" s="132">
        <v>17</v>
      </c>
      <c r="FG31" s="315">
        <f>IF(FF31=0,"-",FC31/FF31)</f>
        <v>4</v>
      </c>
      <c r="FH31" s="315">
        <f>IF(FC31=0,"-",FE31/FC31)</f>
        <v>4.3970588235294121</v>
      </c>
      <c r="FI31" s="317">
        <f>IF(FF31=0,"-",FE31/FF31)</f>
        <v>17.588235294117649</v>
      </c>
      <c r="FJ31" s="119"/>
      <c r="FK31" s="271"/>
      <c r="FL31" s="310"/>
      <c r="FM31" s="310"/>
      <c r="FN31" s="310"/>
      <c r="FO31" s="310"/>
      <c r="FP31" s="310"/>
      <c r="FQ31" s="310"/>
      <c r="FR31" s="310"/>
      <c r="FS31" s="310"/>
      <c r="FT31" s="310"/>
      <c r="FU31" s="126"/>
      <c r="FV31" s="126"/>
      <c r="FW31" s="126"/>
      <c r="FX31" s="126"/>
      <c r="FY31" s="126"/>
      <c r="FZ31" s="126"/>
      <c r="GA31" s="126"/>
      <c r="GB31" s="126"/>
      <c r="GC31" s="126"/>
      <c r="GD31" s="126"/>
    </row>
    <row r="32" spans="2:186" s="118" customFormat="1" ht="13.5" customHeight="1" x14ac:dyDescent="0.2">
      <c r="B32" s="158" t="s">
        <v>218</v>
      </c>
      <c r="C32" s="159" t="s">
        <v>222</v>
      </c>
      <c r="D32" s="170">
        <f>IF(ISNA(VLOOKUP($B32,Batting!$B$6:$D$41,3,FALSE)),0,(VLOOKUP($B32,Batting!$B$6:$D$41,3,FALSE)))</f>
        <v>1</v>
      </c>
      <c r="E32" s="171">
        <f t="shared" si="13"/>
        <v>1</v>
      </c>
      <c r="F32" s="175">
        <f t="shared" si="2"/>
        <v>3</v>
      </c>
      <c r="G32" s="176">
        <f t="shared" si="3"/>
        <v>0</v>
      </c>
      <c r="H32" s="176">
        <f t="shared" si="4"/>
        <v>23</v>
      </c>
      <c r="I32" s="176">
        <f t="shared" si="5"/>
        <v>0</v>
      </c>
      <c r="J32" s="175" t="str">
        <f t="shared" si="14"/>
        <v>-</v>
      </c>
      <c r="K32" s="175">
        <f t="shared" si="15"/>
        <v>7.666666666666667</v>
      </c>
      <c r="L32" s="344" t="str">
        <f t="shared" si="16"/>
        <v>-</v>
      </c>
      <c r="M32" s="134"/>
      <c r="N32" s="296"/>
      <c r="O32" s="171"/>
      <c r="P32" s="171"/>
      <c r="Q32" s="171"/>
      <c r="R32" s="124"/>
      <c r="S32" s="163">
        <f t="shared" si="17"/>
        <v>-4.5999999999999996</v>
      </c>
      <c r="T32" s="134"/>
      <c r="U32" s="294">
        <f t="shared" si="10"/>
        <v>7.666666666666667</v>
      </c>
      <c r="V32" s="294">
        <f t="shared" si="11"/>
        <v>23</v>
      </c>
      <c r="W32" s="177">
        <f t="shared" si="12"/>
        <v>0</v>
      </c>
      <c r="X32" s="122"/>
      <c r="Y32" s="296"/>
      <c r="Z32" s="171"/>
      <c r="AA32" s="171"/>
      <c r="AB32" s="171"/>
      <c r="AC32" s="319"/>
      <c r="AD32" s="296"/>
      <c r="AE32" s="171"/>
      <c r="AF32" s="171"/>
      <c r="AG32" s="171"/>
      <c r="AH32" s="319"/>
      <c r="AI32" s="296"/>
      <c r="AJ32" s="171"/>
      <c r="AK32" s="171"/>
      <c r="AL32" s="171"/>
      <c r="AM32" s="319"/>
      <c r="AN32" s="296"/>
      <c r="AO32" s="171"/>
      <c r="AP32" s="171"/>
      <c r="AQ32" s="171"/>
      <c r="AR32" s="319"/>
      <c r="AS32" s="296"/>
      <c r="AT32" s="171"/>
      <c r="AU32" s="171"/>
      <c r="AV32" s="171"/>
      <c r="AW32" s="319"/>
      <c r="AX32" s="296"/>
      <c r="AY32" s="171"/>
      <c r="AZ32" s="171"/>
      <c r="BA32" s="171"/>
      <c r="BB32" s="319"/>
      <c r="BC32" s="296"/>
      <c r="BD32" s="171"/>
      <c r="BE32" s="171"/>
      <c r="BF32" s="171"/>
      <c r="BG32" s="319"/>
      <c r="BH32" s="296"/>
      <c r="BI32" s="171"/>
      <c r="BJ32" s="171"/>
      <c r="BK32" s="171"/>
      <c r="BL32" s="319"/>
      <c r="BM32" s="296"/>
      <c r="BN32" s="171"/>
      <c r="BO32" s="171"/>
      <c r="BP32" s="171"/>
      <c r="BQ32" s="319"/>
      <c r="BR32" s="296"/>
      <c r="BS32" s="171"/>
      <c r="BT32" s="171"/>
      <c r="BU32" s="171"/>
      <c r="BV32" s="319"/>
      <c r="BW32" s="296">
        <v>3</v>
      </c>
      <c r="BX32" s="171">
        <v>0</v>
      </c>
      <c r="BY32" s="171">
        <v>23</v>
      </c>
      <c r="BZ32" s="171">
        <v>0</v>
      </c>
      <c r="CA32" s="319"/>
      <c r="CB32" s="296"/>
      <c r="CC32" s="171"/>
      <c r="CD32" s="171"/>
      <c r="CE32" s="171"/>
      <c r="CF32" s="319"/>
      <c r="CG32" s="296"/>
      <c r="CH32" s="171"/>
      <c r="CI32" s="171"/>
      <c r="CJ32" s="171"/>
      <c r="CK32" s="319"/>
      <c r="CL32" s="296"/>
      <c r="CM32" s="171"/>
      <c r="CN32" s="171"/>
      <c r="CO32" s="171"/>
      <c r="CP32" s="319"/>
      <c r="CQ32" s="296"/>
      <c r="CR32" s="171"/>
      <c r="CS32" s="171"/>
      <c r="CT32" s="171"/>
      <c r="CU32" s="319"/>
      <c r="CV32" s="296"/>
      <c r="CW32" s="171"/>
      <c r="CX32" s="171"/>
      <c r="CY32" s="171"/>
      <c r="CZ32" s="319"/>
      <c r="DA32" s="296"/>
      <c r="DB32" s="171"/>
      <c r="DC32" s="171"/>
      <c r="DD32" s="171"/>
      <c r="DE32" s="319"/>
      <c r="DF32" s="296"/>
      <c r="DG32" s="171"/>
      <c r="DH32" s="171"/>
      <c r="DI32" s="171"/>
      <c r="DJ32" s="319"/>
      <c r="DK32" s="296"/>
      <c r="DL32" s="171"/>
      <c r="DM32" s="171"/>
      <c r="DN32" s="171"/>
      <c r="DO32" s="319"/>
      <c r="DP32" s="296"/>
      <c r="DQ32" s="171"/>
      <c r="DR32" s="171"/>
      <c r="DS32" s="171"/>
      <c r="DT32" s="319"/>
      <c r="DU32" s="320"/>
      <c r="DV32" s="154"/>
      <c r="DW32" s="154"/>
      <c r="DX32" s="154"/>
      <c r="DY32" s="319"/>
      <c r="DZ32" s="320"/>
      <c r="EA32" s="154"/>
      <c r="EB32" s="154"/>
      <c r="EC32" s="154"/>
      <c r="ED32" s="313"/>
      <c r="EE32" s="307"/>
      <c r="EF32" s="307"/>
      <c r="EG32" s="307"/>
      <c r="EH32" s="307"/>
      <c r="EI32" s="313"/>
      <c r="EJ32" s="307"/>
      <c r="EK32" s="307"/>
      <c r="EL32" s="307"/>
      <c r="EM32" s="307"/>
      <c r="EN32" s="313"/>
      <c r="EO32" s="307"/>
      <c r="EP32" s="307"/>
      <c r="EQ32" s="307"/>
      <c r="ER32" s="307"/>
      <c r="ES32" s="313"/>
      <c r="ET32" s="307"/>
      <c r="EU32" s="307"/>
      <c r="EV32" s="307"/>
      <c r="EW32" s="307"/>
      <c r="FB32" s="132"/>
      <c r="FC32" s="261"/>
      <c r="FD32" s="132"/>
      <c r="FE32" s="132"/>
      <c r="FF32" s="132"/>
      <c r="FG32" s="315"/>
      <c r="FH32" s="315"/>
      <c r="FI32" s="317"/>
      <c r="FJ32" s="119"/>
      <c r="FK32" s="135"/>
      <c r="FL32" s="310"/>
      <c r="FM32" s="310"/>
      <c r="FN32" s="310"/>
      <c r="FO32" s="310"/>
      <c r="FP32" s="310"/>
      <c r="FQ32" s="310"/>
      <c r="FR32" s="310"/>
      <c r="FS32" s="310"/>
      <c r="FT32" s="310"/>
      <c r="FU32" s="126"/>
      <c r="FV32" s="126"/>
      <c r="FW32" s="126"/>
      <c r="FX32" s="126"/>
      <c r="FY32" s="126"/>
      <c r="FZ32" s="126"/>
      <c r="GA32" s="126"/>
      <c r="GB32" s="126"/>
      <c r="GC32" s="126"/>
      <c r="GD32" s="126"/>
    </row>
    <row r="33" spans="2:186" s="118" customFormat="1" ht="13.5" customHeight="1" x14ac:dyDescent="0.2">
      <c r="B33" s="158" t="s">
        <v>219</v>
      </c>
      <c r="C33" s="159" t="s">
        <v>191</v>
      </c>
      <c r="D33" s="170">
        <f>IF(ISNA(VLOOKUP($B33,Batting!$B$6:$D$41,3,FALSE)),0,(VLOOKUP($B33,Batting!$B$6:$D$41,3,FALSE)))</f>
        <v>1</v>
      </c>
      <c r="E33" s="171">
        <f t="shared" si="13"/>
        <v>1</v>
      </c>
      <c r="F33" s="175">
        <f t="shared" si="2"/>
        <v>3</v>
      </c>
      <c r="G33" s="176">
        <f t="shared" si="3"/>
        <v>0</v>
      </c>
      <c r="H33" s="176">
        <f t="shared" si="4"/>
        <v>23</v>
      </c>
      <c r="I33" s="176">
        <f t="shared" si="5"/>
        <v>0</v>
      </c>
      <c r="J33" s="175" t="str">
        <f t="shared" si="14"/>
        <v>-</v>
      </c>
      <c r="K33" s="175">
        <f t="shared" si="15"/>
        <v>7.666666666666667</v>
      </c>
      <c r="L33" s="344" t="str">
        <f t="shared" si="16"/>
        <v>-</v>
      </c>
      <c r="M33" s="134"/>
      <c r="N33" s="296"/>
      <c r="O33" s="171"/>
      <c r="P33" s="171"/>
      <c r="Q33" s="171"/>
      <c r="R33" s="124"/>
      <c r="S33" s="163">
        <f t="shared" si="17"/>
        <v>-4.5999999999999996</v>
      </c>
      <c r="T33" s="134"/>
      <c r="U33" s="294">
        <f t="shared" si="10"/>
        <v>7.666666666666667</v>
      </c>
      <c r="V33" s="294">
        <f t="shared" si="11"/>
        <v>23</v>
      </c>
      <c r="W33" s="177">
        <f t="shared" si="12"/>
        <v>0</v>
      </c>
      <c r="X33" s="122"/>
      <c r="Y33" s="296"/>
      <c r="Z33" s="171"/>
      <c r="AA33" s="171"/>
      <c r="AB33" s="171"/>
      <c r="AC33" s="319"/>
      <c r="AD33" s="296"/>
      <c r="AE33" s="171"/>
      <c r="AF33" s="171"/>
      <c r="AG33" s="171"/>
      <c r="AH33" s="319"/>
      <c r="AI33" s="296"/>
      <c r="AJ33" s="171"/>
      <c r="AK33" s="171"/>
      <c r="AL33" s="171"/>
      <c r="AM33" s="319"/>
      <c r="AN33" s="296"/>
      <c r="AO33" s="171"/>
      <c r="AP33" s="171"/>
      <c r="AQ33" s="171"/>
      <c r="AR33" s="319"/>
      <c r="AS33" s="296"/>
      <c r="AT33" s="171"/>
      <c r="AU33" s="171"/>
      <c r="AV33" s="171"/>
      <c r="AW33" s="319"/>
      <c r="AX33" s="296"/>
      <c r="AY33" s="171"/>
      <c r="AZ33" s="171"/>
      <c r="BA33" s="171"/>
      <c r="BB33" s="319"/>
      <c r="BC33" s="296"/>
      <c r="BD33" s="171"/>
      <c r="BE33" s="171"/>
      <c r="BF33" s="171"/>
      <c r="BG33" s="319"/>
      <c r="BH33" s="296"/>
      <c r="BI33" s="171"/>
      <c r="BJ33" s="171"/>
      <c r="BK33" s="171"/>
      <c r="BL33" s="319"/>
      <c r="BM33" s="296"/>
      <c r="BN33" s="171"/>
      <c r="BO33" s="171"/>
      <c r="BP33" s="171"/>
      <c r="BQ33" s="319"/>
      <c r="BR33" s="296"/>
      <c r="BS33" s="171"/>
      <c r="BT33" s="171"/>
      <c r="BU33" s="171"/>
      <c r="BV33" s="319"/>
      <c r="BW33" s="296"/>
      <c r="BX33" s="171"/>
      <c r="BY33" s="171"/>
      <c r="BZ33" s="171"/>
      <c r="CA33" s="319"/>
      <c r="CB33" s="296"/>
      <c r="CC33" s="171"/>
      <c r="CD33" s="171"/>
      <c r="CE33" s="171"/>
      <c r="CF33" s="319"/>
      <c r="CG33" s="296"/>
      <c r="CH33" s="171"/>
      <c r="CI33" s="171"/>
      <c r="CJ33" s="171"/>
      <c r="CK33" s="319"/>
      <c r="CL33" s="296">
        <v>3</v>
      </c>
      <c r="CM33" s="171">
        <v>0</v>
      </c>
      <c r="CN33" s="171">
        <v>23</v>
      </c>
      <c r="CO33" s="171">
        <v>0</v>
      </c>
      <c r="CP33" s="319"/>
      <c r="CQ33" s="296"/>
      <c r="CR33" s="171"/>
      <c r="CS33" s="171"/>
      <c r="CT33" s="171"/>
      <c r="CU33" s="319"/>
      <c r="CV33" s="296"/>
      <c r="CW33" s="171"/>
      <c r="CX33" s="171"/>
      <c r="CY33" s="171"/>
      <c r="CZ33" s="319"/>
      <c r="DA33" s="296"/>
      <c r="DB33" s="171"/>
      <c r="DC33" s="171"/>
      <c r="DD33" s="171"/>
      <c r="DE33" s="319"/>
      <c r="DF33" s="296"/>
      <c r="DG33" s="171"/>
      <c r="DH33" s="171"/>
      <c r="DI33" s="171"/>
      <c r="DJ33" s="319"/>
      <c r="DK33" s="296"/>
      <c r="DL33" s="171"/>
      <c r="DM33" s="171"/>
      <c r="DN33" s="171"/>
      <c r="DO33" s="319"/>
      <c r="DP33" s="296"/>
      <c r="DQ33" s="171"/>
      <c r="DR33" s="171"/>
      <c r="DS33" s="171"/>
      <c r="DT33" s="319"/>
      <c r="DU33" s="320"/>
      <c r="DV33" s="154"/>
      <c r="DW33" s="154"/>
      <c r="DX33" s="154"/>
      <c r="DY33" s="319"/>
      <c r="DZ33" s="320"/>
      <c r="EA33" s="154"/>
      <c r="EB33" s="154"/>
      <c r="EC33" s="154"/>
      <c r="ED33" s="313"/>
      <c r="EE33" s="307"/>
      <c r="EF33" s="307"/>
      <c r="EG33" s="307"/>
      <c r="EH33" s="307"/>
      <c r="EI33" s="313"/>
      <c r="EJ33" s="307"/>
      <c r="EK33" s="307"/>
      <c r="EL33" s="307"/>
      <c r="EM33" s="307"/>
      <c r="EN33" s="313"/>
      <c r="EO33" s="307"/>
      <c r="EP33" s="307"/>
      <c r="EQ33" s="307"/>
      <c r="ER33" s="307"/>
      <c r="ES33" s="313"/>
      <c r="ET33" s="307"/>
      <c r="EU33" s="307"/>
      <c r="EV33" s="307"/>
      <c r="EW33" s="307"/>
      <c r="FB33" s="132"/>
      <c r="FC33" s="261"/>
      <c r="FD33" s="132"/>
      <c r="FE33" s="132"/>
      <c r="FF33" s="132"/>
      <c r="FG33" s="315"/>
      <c r="FH33" s="315"/>
      <c r="FI33" s="317"/>
      <c r="FJ33" s="119"/>
      <c r="FK33" s="135"/>
      <c r="FL33" s="310"/>
      <c r="FM33" s="310"/>
      <c r="FN33" s="310"/>
      <c r="FO33" s="310"/>
      <c r="FP33" s="310"/>
      <c r="FQ33" s="310"/>
      <c r="FR33" s="310"/>
      <c r="FS33" s="310"/>
      <c r="FT33" s="310"/>
      <c r="FU33" s="126"/>
      <c r="FV33" s="126"/>
      <c r="FW33" s="126"/>
      <c r="FX33" s="126"/>
      <c r="FY33" s="126"/>
      <c r="FZ33" s="126"/>
      <c r="GA33" s="126"/>
      <c r="GB33" s="126"/>
      <c r="GC33" s="126"/>
      <c r="GD33" s="126"/>
    </row>
    <row r="34" spans="2:186" s="118" customFormat="1" ht="13.5" customHeight="1" x14ac:dyDescent="0.2">
      <c r="B34" s="158" t="s">
        <v>122</v>
      </c>
      <c r="C34" s="159" t="s">
        <v>188</v>
      </c>
      <c r="D34" s="170">
        <f>IF(ISNA(VLOOKUP($B34,Batting!$B$6:$D$41,3,FALSE)),0,(VLOOKUP($B34,Batting!$B$6:$D$41,3,FALSE)))</f>
        <v>2</v>
      </c>
      <c r="E34" s="171">
        <f t="shared" si="13"/>
        <v>2</v>
      </c>
      <c r="F34" s="175">
        <f t="shared" si="2"/>
        <v>8</v>
      </c>
      <c r="G34" s="176">
        <f t="shared" si="3"/>
        <v>0</v>
      </c>
      <c r="H34" s="176">
        <f t="shared" si="4"/>
        <v>50</v>
      </c>
      <c r="I34" s="176">
        <f t="shared" si="5"/>
        <v>0</v>
      </c>
      <c r="J34" s="175" t="str">
        <f t="shared" si="14"/>
        <v>-</v>
      </c>
      <c r="K34" s="175">
        <f t="shared" si="15"/>
        <v>6.25</v>
      </c>
      <c r="L34" s="344" t="str">
        <f t="shared" si="16"/>
        <v>-</v>
      </c>
      <c r="M34" s="134"/>
      <c r="N34" s="296"/>
      <c r="O34" s="171"/>
      <c r="P34" s="171"/>
      <c r="Q34" s="171"/>
      <c r="R34" s="124"/>
      <c r="S34" s="163">
        <f t="shared" si="17"/>
        <v>-10</v>
      </c>
      <c r="T34" s="134"/>
      <c r="U34" s="294">
        <f t="shared" si="10"/>
        <v>6.25</v>
      </c>
      <c r="V34" s="294">
        <f t="shared" si="11"/>
        <v>50</v>
      </c>
      <c r="W34" s="177">
        <f t="shared" si="12"/>
        <v>0</v>
      </c>
      <c r="X34" s="122"/>
      <c r="Y34" s="296"/>
      <c r="Z34" s="171"/>
      <c r="AA34" s="171"/>
      <c r="AB34" s="171"/>
      <c r="AC34" s="319"/>
      <c r="AD34" s="296"/>
      <c r="AE34" s="171"/>
      <c r="AF34" s="171"/>
      <c r="AG34" s="171"/>
      <c r="AH34" s="319"/>
      <c r="AI34" s="296"/>
      <c r="AJ34" s="171"/>
      <c r="AK34" s="171"/>
      <c r="AL34" s="171"/>
      <c r="AM34" s="319"/>
      <c r="AN34" s="296"/>
      <c r="AO34" s="171"/>
      <c r="AP34" s="171"/>
      <c r="AQ34" s="171"/>
      <c r="AR34" s="319"/>
      <c r="AS34" s="296"/>
      <c r="AT34" s="171"/>
      <c r="AU34" s="171"/>
      <c r="AV34" s="171"/>
      <c r="AW34" s="319"/>
      <c r="AX34" s="296"/>
      <c r="AY34" s="171"/>
      <c r="AZ34" s="171"/>
      <c r="BA34" s="171"/>
      <c r="BB34" s="319"/>
      <c r="BC34" s="296"/>
      <c r="BD34" s="171"/>
      <c r="BE34" s="171"/>
      <c r="BF34" s="171"/>
      <c r="BG34" s="319"/>
      <c r="BH34" s="296"/>
      <c r="BI34" s="171"/>
      <c r="BJ34" s="171"/>
      <c r="BK34" s="171"/>
      <c r="BL34" s="319"/>
      <c r="BM34" s="296"/>
      <c r="BN34" s="171"/>
      <c r="BO34" s="171"/>
      <c r="BP34" s="171"/>
      <c r="BQ34" s="319"/>
      <c r="BR34" s="296"/>
      <c r="BS34" s="171"/>
      <c r="BT34" s="171"/>
      <c r="BU34" s="171"/>
      <c r="BV34" s="319"/>
      <c r="BW34" s="296">
        <v>4</v>
      </c>
      <c r="BX34" s="171">
        <v>0</v>
      </c>
      <c r="BY34" s="171">
        <v>24</v>
      </c>
      <c r="BZ34" s="171">
        <v>0</v>
      </c>
      <c r="CA34" s="319"/>
      <c r="CB34" s="296"/>
      <c r="CC34" s="171"/>
      <c r="CD34" s="171"/>
      <c r="CE34" s="171"/>
      <c r="CF34" s="319"/>
      <c r="CG34" s="296"/>
      <c r="CH34" s="171"/>
      <c r="CI34" s="171"/>
      <c r="CJ34" s="171"/>
      <c r="CK34" s="319"/>
      <c r="CL34" s="296"/>
      <c r="CM34" s="171"/>
      <c r="CN34" s="171"/>
      <c r="CO34" s="171"/>
      <c r="CP34" s="319"/>
      <c r="CQ34" s="296"/>
      <c r="CR34" s="171"/>
      <c r="CS34" s="171"/>
      <c r="CT34" s="171"/>
      <c r="CU34" s="319"/>
      <c r="CV34" s="296"/>
      <c r="CW34" s="171"/>
      <c r="CX34" s="171"/>
      <c r="CY34" s="171"/>
      <c r="CZ34" s="319"/>
      <c r="DA34" s="296">
        <v>4</v>
      </c>
      <c r="DB34" s="171">
        <v>0</v>
      </c>
      <c r="DC34" s="171">
        <v>26</v>
      </c>
      <c r="DD34" s="171">
        <v>0</v>
      </c>
      <c r="DE34" s="319"/>
      <c r="DF34" s="296"/>
      <c r="DG34" s="171"/>
      <c r="DH34" s="171"/>
      <c r="DI34" s="171"/>
      <c r="DJ34" s="319"/>
      <c r="DK34" s="296"/>
      <c r="DL34" s="171"/>
      <c r="DM34" s="171"/>
      <c r="DN34" s="171"/>
      <c r="DO34" s="319"/>
      <c r="DP34" s="296"/>
      <c r="DQ34" s="171"/>
      <c r="DR34" s="171"/>
      <c r="DS34" s="171"/>
      <c r="DT34" s="319"/>
      <c r="DU34" s="320"/>
      <c r="DV34" s="154"/>
      <c r="DW34" s="154"/>
      <c r="DX34" s="154"/>
      <c r="DY34" s="319"/>
      <c r="DZ34" s="320"/>
      <c r="EA34" s="154"/>
      <c r="EB34" s="154"/>
      <c r="EC34" s="154"/>
      <c r="ED34" s="313"/>
      <c r="EE34" s="307"/>
      <c r="EF34" s="307"/>
      <c r="EG34" s="307"/>
      <c r="EH34" s="307"/>
      <c r="EI34" s="313"/>
      <c r="EJ34" s="307"/>
      <c r="EK34" s="307"/>
      <c r="EL34" s="307"/>
      <c r="EM34" s="307"/>
      <c r="EN34" s="313"/>
      <c r="EO34" s="307"/>
      <c r="EP34" s="307"/>
      <c r="EQ34" s="307"/>
      <c r="ER34" s="307"/>
      <c r="ES34" s="313"/>
      <c r="ET34" s="307"/>
      <c r="EU34" s="307"/>
      <c r="EV34" s="307"/>
      <c r="EW34" s="307"/>
      <c r="FB34" s="132"/>
      <c r="FC34" s="261"/>
      <c r="FD34" s="132"/>
      <c r="FE34" s="132"/>
      <c r="FF34" s="132"/>
      <c r="FG34" s="315"/>
      <c r="FH34" s="315"/>
      <c r="FI34" s="317"/>
      <c r="FJ34" s="119"/>
      <c r="FK34" s="135"/>
      <c r="FL34" s="310"/>
      <c r="FM34" s="310"/>
      <c r="FN34" s="310"/>
      <c r="FO34" s="310"/>
      <c r="FP34" s="310"/>
      <c r="FQ34" s="310"/>
      <c r="FR34" s="310"/>
      <c r="FS34" s="310"/>
      <c r="FT34" s="310"/>
      <c r="FU34" s="126"/>
      <c r="FV34" s="126"/>
      <c r="FW34" s="126"/>
      <c r="FX34" s="126"/>
      <c r="FY34" s="126"/>
      <c r="FZ34" s="126"/>
      <c r="GA34" s="126"/>
      <c r="GB34" s="126"/>
      <c r="GC34" s="126"/>
      <c r="GD34" s="126"/>
    </row>
    <row r="35" spans="2:186" s="118" customFormat="1" ht="13.5" customHeight="1" x14ac:dyDescent="0.2">
      <c r="B35" s="158" t="s">
        <v>220</v>
      </c>
      <c r="C35" s="159" t="s">
        <v>191</v>
      </c>
      <c r="D35" s="170">
        <f>IF(ISNA(VLOOKUP($B35,Batting!$B$6:$D$41,3,FALSE)),0,(VLOOKUP($B35,Batting!$B$6:$D$41,3,FALSE)))</f>
        <v>7</v>
      </c>
      <c r="E35" s="171">
        <f t="shared" si="13"/>
        <v>1</v>
      </c>
      <c r="F35" s="175">
        <f t="shared" si="2"/>
        <v>1</v>
      </c>
      <c r="G35" s="176">
        <f t="shared" si="3"/>
        <v>0</v>
      </c>
      <c r="H35" s="176">
        <f t="shared" si="4"/>
        <v>8</v>
      </c>
      <c r="I35" s="176">
        <f t="shared" si="5"/>
        <v>0</v>
      </c>
      <c r="J35" s="175" t="str">
        <f t="shared" si="14"/>
        <v>-</v>
      </c>
      <c r="K35" s="175">
        <f t="shared" si="15"/>
        <v>8</v>
      </c>
      <c r="L35" s="344" t="str">
        <f t="shared" si="16"/>
        <v>-</v>
      </c>
      <c r="M35" s="134"/>
      <c r="N35" s="296"/>
      <c r="O35" s="171"/>
      <c r="P35" s="171"/>
      <c r="Q35" s="171"/>
      <c r="R35" s="124"/>
      <c r="S35" s="163">
        <f t="shared" si="17"/>
        <v>-1.6</v>
      </c>
      <c r="T35" s="134"/>
      <c r="U35" s="294">
        <f t="shared" si="10"/>
        <v>8</v>
      </c>
      <c r="V35" s="294">
        <f t="shared" si="11"/>
        <v>8</v>
      </c>
      <c r="W35" s="177">
        <f t="shared" si="12"/>
        <v>0</v>
      </c>
      <c r="X35" s="122"/>
      <c r="Y35" s="296"/>
      <c r="Z35" s="171"/>
      <c r="AA35" s="171"/>
      <c r="AB35" s="171"/>
      <c r="AC35" s="319"/>
      <c r="AD35" s="296"/>
      <c r="AE35" s="171"/>
      <c r="AF35" s="171"/>
      <c r="AG35" s="171"/>
      <c r="AH35" s="319"/>
      <c r="AI35" s="296"/>
      <c r="AJ35" s="171"/>
      <c r="AK35" s="171"/>
      <c r="AL35" s="171"/>
      <c r="AM35" s="319"/>
      <c r="AN35" s="296"/>
      <c r="AO35" s="171"/>
      <c r="AP35" s="171"/>
      <c r="AQ35" s="171"/>
      <c r="AR35" s="319"/>
      <c r="AS35" s="296"/>
      <c r="AT35" s="171"/>
      <c r="AU35" s="171"/>
      <c r="AV35" s="171"/>
      <c r="AW35" s="319"/>
      <c r="AX35" s="296"/>
      <c r="AY35" s="171"/>
      <c r="AZ35" s="171"/>
      <c r="BA35" s="171"/>
      <c r="BB35" s="319"/>
      <c r="BC35" s="296"/>
      <c r="BD35" s="171"/>
      <c r="BE35" s="171"/>
      <c r="BF35" s="171"/>
      <c r="BG35" s="319"/>
      <c r="BH35" s="296"/>
      <c r="BI35" s="171"/>
      <c r="BJ35" s="171"/>
      <c r="BK35" s="171"/>
      <c r="BL35" s="319"/>
      <c r="BM35" s="296"/>
      <c r="BN35" s="171"/>
      <c r="BO35" s="171"/>
      <c r="BP35" s="171"/>
      <c r="BQ35" s="319"/>
      <c r="BR35" s="296">
        <v>1</v>
      </c>
      <c r="BS35" s="171">
        <v>0</v>
      </c>
      <c r="BT35" s="171">
        <v>8</v>
      </c>
      <c r="BU35" s="171">
        <v>0</v>
      </c>
      <c r="BV35" s="319"/>
      <c r="BW35" s="296"/>
      <c r="BX35" s="171"/>
      <c r="BY35" s="171"/>
      <c r="BZ35" s="171"/>
      <c r="CA35" s="319"/>
      <c r="CB35" s="296"/>
      <c r="CC35" s="171"/>
      <c r="CD35" s="171"/>
      <c r="CE35" s="171"/>
      <c r="CF35" s="319"/>
      <c r="CG35" s="296"/>
      <c r="CH35" s="171"/>
      <c r="CI35" s="171"/>
      <c r="CJ35" s="171"/>
      <c r="CK35" s="319"/>
      <c r="CL35" s="296"/>
      <c r="CM35" s="171"/>
      <c r="CN35" s="171"/>
      <c r="CO35" s="171"/>
      <c r="CP35" s="319"/>
      <c r="CQ35" s="296"/>
      <c r="CR35" s="171"/>
      <c r="CS35" s="171"/>
      <c r="CT35" s="171"/>
      <c r="CU35" s="319"/>
      <c r="CV35" s="296"/>
      <c r="CW35" s="171"/>
      <c r="CX35" s="171"/>
      <c r="CY35" s="171"/>
      <c r="CZ35" s="319"/>
      <c r="DA35" s="296"/>
      <c r="DB35" s="171"/>
      <c r="DC35" s="171"/>
      <c r="DD35" s="171"/>
      <c r="DE35" s="319"/>
      <c r="DF35" s="296"/>
      <c r="DG35" s="171"/>
      <c r="DH35" s="171"/>
      <c r="DI35" s="171"/>
      <c r="DJ35" s="319"/>
      <c r="DK35" s="296"/>
      <c r="DL35" s="171"/>
      <c r="DM35" s="171"/>
      <c r="DN35" s="171"/>
      <c r="DO35" s="319"/>
      <c r="DP35" s="296"/>
      <c r="DQ35" s="171"/>
      <c r="DR35" s="171"/>
      <c r="DS35" s="171"/>
      <c r="DT35" s="319"/>
      <c r="DU35" s="320"/>
      <c r="DV35" s="154"/>
      <c r="DW35" s="154"/>
      <c r="DX35" s="154"/>
      <c r="DY35" s="319"/>
      <c r="DZ35" s="320"/>
      <c r="EA35" s="154"/>
      <c r="EB35" s="154"/>
      <c r="EC35" s="154"/>
      <c r="ED35" s="313"/>
      <c r="EE35" s="307"/>
      <c r="EF35" s="307"/>
      <c r="EG35" s="307"/>
      <c r="EH35" s="307"/>
      <c r="EI35" s="313"/>
      <c r="EJ35" s="307"/>
      <c r="EK35" s="307"/>
      <c r="EL35" s="307"/>
      <c r="EM35" s="307"/>
      <c r="EN35" s="313"/>
      <c r="EO35" s="307"/>
      <c r="EP35" s="307"/>
      <c r="EQ35" s="307"/>
      <c r="ER35" s="307"/>
      <c r="ES35" s="313"/>
      <c r="ET35" s="307"/>
      <c r="EU35" s="307"/>
      <c r="EV35" s="307"/>
      <c r="EW35" s="307"/>
      <c r="FB35" s="132"/>
      <c r="FC35" s="261"/>
      <c r="FD35" s="132"/>
      <c r="FE35" s="132"/>
      <c r="FF35" s="132"/>
      <c r="FG35" s="315"/>
      <c r="FH35" s="315"/>
      <c r="FI35" s="317"/>
      <c r="FJ35" s="119"/>
      <c r="FK35" s="135"/>
      <c r="FL35" s="310"/>
      <c r="FM35" s="310"/>
      <c r="FN35" s="310"/>
      <c r="FO35" s="310"/>
      <c r="FP35" s="310"/>
      <c r="FQ35" s="310"/>
      <c r="FR35" s="310"/>
      <c r="FS35" s="310"/>
      <c r="FT35" s="310"/>
      <c r="FU35" s="126"/>
      <c r="FV35" s="126"/>
      <c r="FW35" s="126"/>
      <c r="FX35" s="126"/>
      <c r="FY35" s="126"/>
      <c r="FZ35" s="126"/>
      <c r="GA35" s="126"/>
      <c r="GB35" s="126"/>
      <c r="GC35" s="126"/>
      <c r="GD35" s="126"/>
    </row>
    <row r="36" spans="2:186" s="118" customFormat="1" ht="13.5" customHeight="1" x14ac:dyDescent="0.2">
      <c r="B36" s="158" t="s">
        <v>44</v>
      </c>
      <c r="C36" s="159" t="s">
        <v>189</v>
      </c>
      <c r="D36" s="170">
        <f>IF(ISNA(VLOOKUP($B36,Batting!$B$6:$D$41,3,FALSE)),0,(VLOOKUP($B36,Batting!$B$6:$D$41,3,FALSE)))</f>
        <v>13</v>
      </c>
      <c r="E36" s="171">
        <f t="shared" si="13"/>
        <v>1</v>
      </c>
      <c r="F36" s="175">
        <f t="shared" si="2"/>
        <v>3</v>
      </c>
      <c r="G36" s="176">
        <f t="shared" si="3"/>
        <v>1</v>
      </c>
      <c r="H36" s="176">
        <f t="shared" si="4"/>
        <v>4</v>
      </c>
      <c r="I36" s="176">
        <f t="shared" si="5"/>
        <v>0</v>
      </c>
      <c r="J36" s="175" t="str">
        <f t="shared" si="14"/>
        <v>-</v>
      </c>
      <c r="K36" s="175">
        <f t="shared" si="15"/>
        <v>1.3333333333333333</v>
      </c>
      <c r="L36" s="344" t="str">
        <f t="shared" si="16"/>
        <v>-</v>
      </c>
      <c r="M36" s="134"/>
      <c r="N36" s="296"/>
      <c r="O36" s="171"/>
      <c r="P36" s="171"/>
      <c r="Q36" s="171"/>
      <c r="R36" s="124"/>
      <c r="S36" s="163">
        <f t="shared" si="17"/>
        <v>-0.8</v>
      </c>
      <c r="T36" s="134"/>
      <c r="U36" s="294">
        <f t="shared" si="10"/>
        <v>1.3333333333333333</v>
      </c>
      <c r="V36" s="294">
        <f t="shared" si="11"/>
        <v>4</v>
      </c>
      <c r="W36" s="177">
        <f t="shared" si="12"/>
        <v>0</v>
      </c>
      <c r="X36" s="122"/>
      <c r="Y36" s="296"/>
      <c r="Z36" s="171"/>
      <c r="AA36" s="171"/>
      <c r="AB36" s="171"/>
      <c r="AC36" s="319"/>
      <c r="AD36" s="296"/>
      <c r="AE36" s="171"/>
      <c r="AF36" s="171"/>
      <c r="AG36" s="171"/>
      <c r="AH36" s="319"/>
      <c r="AI36" s="296"/>
      <c r="AJ36" s="171"/>
      <c r="AK36" s="171"/>
      <c r="AL36" s="171"/>
      <c r="AM36" s="319"/>
      <c r="AN36" s="296"/>
      <c r="AO36" s="171"/>
      <c r="AP36" s="171"/>
      <c r="AQ36" s="171"/>
      <c r="AR36" s="319"/>
      <c r="AS36" s="296"/>
      <c r="AT36" s="171"/>
      <c r="AU36" s="171"/>
      <c r="AV36" s="171"/>
      <c r="AW36" s="319"/>
      <c r="AX36" s="296"/>
      <c r="AY36" s="171"/>
      <c r="AZ36" s="171"/>
      <c r="BA36" s="171"/>
      <c r="BB36" s="319"/>
      <c r="BC36" s="296"/>
      <c r="BD36" s="171"/>
      <c r="BE36" s="171"/>
      <c r="BF36" s="171"/>
      <c r="BG36" s="319"/>
      <c r="BH36" s="296"/>
      <c r="BI36" s="171"/>
      <c r="BJ36" s="171"/>
      <c r="BK36" s="171"/>
      <c r="BL36" s="319"/>
      <c r="BM36" s="296"/>
      <c r="BN36" s="171"/>
      <c r="BO36" s="171"/>
      <c r="BP36" s="171"/>
      <c r="BQ36" s="319"/>
      <c r="BR36" s="296">
        <v>3</v>
      </c>
      <c r="BS36" s="171">
        <v>1</v>
      </c>
      <c r="BT36" s="171">
        <v>4</v>
      </c>
      <c r="BU36" s="171">
        <v>0</v>
      </c>
      <c r="BV36" s="319"/>
      <c r="BW36" s="296"/>
      <c r="BX36" s="171"/>
      <c r="BY36" s="171"/>
      <c r="BZ36" s="171"/>
      <c r="CA36" s="319"/>
      <c r="CB36" s="296"/>
      <c r="CC36" s="171"/>
      <c r="CD36" s="171"/>
      <c r="CE36" s="171"/>
      <c r="CF36" s="319"/>
      <c r="CG36" s="296"/>
      <c r="CH36" s="171"/>
      <c r="CI36" s="171"/>
      <c r="CJ36" s="171"/>
      <c r="CK36" s="319"/>
      <c r="CL36" s="296"/>
      <c r="CM36" s="171"/>
      <c r="CN36" s="171"/>
      <c r="CO36" s="171"/>
      <c r="CP36" s="319"/>
      <c r="CQ36" s="296"/>
      <c r="CR36" s="171"/>
      <c r="CS36" s="171"/>
      <c r="CT36" s="171"/>
      <c r="CU36" s="319"/>
      <c r="CV36" s="296"/>
      <c r="CW36" s="171"/>
      <c r="CX36" s="171"/>
      <c r="CY36" s="171"/>
      <c r="CZ36" s="319"/>
      <c r="DA36" s="296"/>
      <c r="DB36" s="171"/>
      <c r="DC36" s="171"/>
      <c r="DD36" s="171"/>
      <c r="DE36" s="319"/>
      <c r="DF36" s="296"/>
      <c r="DG36" s="171"/>
      <c r="DH36" s="171"/>
      <c r="DI36" s="171"/>
      <c r="DJ36" s="319"/>
      <c r="DK36" s="296"/>
      <c r="DL36" s="171"/>
      <c r="DM36" s="171"/>
      <c r="DN36" s="171"/>
      <c r="DO36" s="319"/>
      <c r="DP36" s="296"/>
      <c r="DQ36" s="171"/>
      <c r="DR36" s="171"/>
      <c r="DS36" s="171"/>
      <c r="DT36" s="319"/>
      <c r="DU36" s="320"/>
      <c r="DV36" s="154"/>
      <c r="DW36" s="154"/>
      <c r="DX36" s="154"/>
      <c r="DY36" s="319"/>
      <c r="DZ36" s="320"/>
      <c r="EA36" s="154"/>
      <c r="EB36" s="154"/>
      <c r="EC36" s="154"/>
      <c r="ED36" s="313"/>
      <c r="EE36" s="307"/>
      <c r="EF36" s="307"/>
      <c r="EG36" s="307"/>
      <c r="EH36" s="307"/>
      <c r="EI36" s="313"/>
      <c r="EJ36" s="307"/>
      <c r="EK36" s="307"/>
      <c r="EL36" s="307"/>
      <c r="EM36" s="307"/>
      <c r="EN36" s="313"/>
      <c r="EO36" s="307"/>
      <c r="EP36" s="307"/>
      <c r="EQ36" s="307"/>
      <c r="ER36" s="307"/>
      <c r="ES36" s="313"/>
      <c r="ET36" s="307"/>
      <c r="EU36" s="307"/>
      <c r="EV36" s="307"/>
      <c r="EW36" s="307"/>
      <c r="FB36" s="132"/>
      <c r="FC36" s="261"/>
      <c r="FD36" s="132"/>
      <c r="FE36" s="132"/>
      <c r="FF36" s="132"/>
      <c r="FG36" s="315"/>
      <c r="FH36" s="315"/>
      <c r="FI36" s="317"/>
      <c r="FJ36" s="119"/>
      <c r="FK36" s="271"/>
      <c r="FL36" s="310"/>
      <c r="FM36" s="310"/>
      <c r="FN36" s="310"/>
      <c r="FO36" s="310"/>
      <c r="FP36" s="310"/>
      <c r="FQ36" s="310"/>
      <c r="FR36" s="310"/>
      <c r="FS36" s="310"/>
      <c r="FT36" s="310"/>
      <c r="FU36" s="126"/>
      <c r="FV36" s="126"/>
      <c r="FW36" s="126"/>
      <c r="FX36" s="126"/>
      <c r="FY36" s="126"/>
      <c r="FZ36" s="126"/>
      <c r="GA36" s="126"/>
      <c r="GB36" s="126"/>
      <c r="GC36" s="126"/>
      <c r="GD36" s="126"/>
    </row>
    <row r="37" spans="2:186" s="118" customFormat="1" ht="13.5" customHeight="1" x14ac:dyDescent="0.2">
      <c r="B37" s="321"/>
      <c r="C37" s="321"/>
      <c r="D37" s="321"/>
      <c r="E37" s="321"/>
      <c r="F37" s="322"/>
      <c r="G37" s="322"/>
      <c r="H37" s="322"/>
      <c r="I37" s="322"/>
      <c r="J37" s="322"/>
      <c r="K37" s="322"/>
      <c r="L37" s="322"/>
      <c r="M37" s="123"/>
      <c r="N37" s="322"/>
      <c r="O37" s="322"/>
      <c r="P37" s="322"/>
      <c r="Q37" s="322"/>
      <c r="R37" s="258"/>
      <c r="S37" s="328">
        <f>SUM(S5:S36)</f>
        <v>1481.8000000000009</v>
      </c>
      <c r="T37" s="322"/>
      <c r="U37" s="322"/>
      <c r="V37" s="322"/>
      <c r="W37" s="322"/>
      <c r="X37" s="122"/>
      <c r="Y37" s="322"/>
      <c r="Z37" s="322"/>
      <c r="AA37" s="322"/>
      <c r="AB37" s="322"/>
      <c r="AC37" s="322"/>
      <c r="AD37" s="322"/>
      <c r="AE37" s="322"/>
      <c r="AF37" s="322"/>
      <c r="AG37" s="322"/>
      <c r="AH37" s="322"/>
      <c r="AI37" s="322"/>
      <c r="AJ37" s="322"/>
      <c r="AK37" s="322"/>
      <c r="AL37" s="322"/>
      <c r="AM37" s="322"/>
      <c r="AN37" s="322"/>
      <c r="AO37" s="322"/>
      <c r="AP37" s="322"/>
      <c r="AQ37" s="322"/>
      <c r="AR37" s="322"/>
      <c r="AS37" s="322"/>
      <c r="AT37" s="322"/>
      <c r="AU37" s="322"/>
      <c r="AV37" s="322"/>
      <c r="AW37" s="322"/>
      <c r="AX37" s="322"/>
      <c r="AY37" s="322"/>
      <c r="AZ37" s="322"/>
      <c r="BA37" s="322"/>
      <c r="BB37" s="322"/>
      <c r="BC37" s="322"/>
      <c r="BD37" s="322"/>
      <c r="BE37" s="322"/>
      <c r="BF37" s="322"/>
      <c r="BG37" s="322"/>
      <c r="BH37" s="322"/>
      <c r="BI37" s="322"/>
      <c r="BJ37" s="322"/>
      <c r="BK37" s="322"/>
      <c r="BL37" s="322"/>
      <c r="BM37" s="322"/>
      <c r="BN37" s="322"/>
      <c r="BO37" s="322"/>
      <c r="BP37" s="322"/>
      <c r="BQ37" s="322"/>
      <c r="BR37" s="322"/>
      <c r="BS37" s="322"/>
      <c r="BT37" s="322"/>
      <c r="BU37" s="322"/>
      <c r="BV37" s="322"/>
      <c r="BW37" s="322"/>
      <c r="BX37" s="322"/>
      <c r="BY37" s="322"/>
      <c r="BZ37" s="322"/>
      <c r="CA37" s="322"/>
      <c r="CB37" s="322"/>
      <c r="CC37" s="322"/>
      <c r="CD37" s="322"/>
      <c r="CE37" s="322"/>
      <c r="CF37" s="322"/>
      <c r="CG37" s="322"/>
      <c r="CH37" s="322"/>
      <c r="CI37" s="322"/>
      <c r="CJ37" s="322"/>
      <c r="CK37" s="322"/>
      <c r="CL37" s="322"/>
      <c r="CM37" s="322"/>
      <c r="CN37" s="322"/>
      <c r="CO37" s="322"/>
      <c r="CP37" s="322"/>
      <c r="CQ37" s="322"/>
      <c r="CR37" s="322"/>
      <c r="CS37" s="322"/>
      <c r="CT37" s="322"/>
      <c r="CU37" s="322"/>
      <c r="CV37" s="322"/>
      <c r="CW37" s="322"/>
      <c r="CX37" s="322"/>
      <c r="CY37" s="322"/>
      <c r="CZ37" s="322"/>
      <c r="DA37" s="322"/>
      <c r="DB37" s="322"/>
      <c r="DC37" s="322"/>
      <c r="DD37" s="322"/>
      <c r="DE37" s="322"/>
      <c r="DF37" s="322"/>
      <c r="DG37" s="322"/>
      <c r="DH37" s="322"/>
      <c r="DI37" s="322"/>
      <c r="DJ37" s="322"/>
      <c r="DK37" s="322"/>
      <c r="DL37" s="322"/>
      <c r="DM37" s="322"/>
      <c r="DN37" s="322"/>
      <c r="DO37" s="322"/>
      <c r="DP37" s="322"/>
      <c r="DQ37" s="322"/>
      <c r="DR37" s="322"/>
      <c r="DS37" s="322"/>
      <c r="DT37" s="322"/>
      <c r="DU37" s="258"/>
      <c r="DV37" s="258"/>
      <c r="DW37" s="258"/>
      <c r="DX37" s="258"/>
      <c r="DY37" s="258"/>
      <c r="DZ37" s="258"/>
      <c r="EA37" s="258"/>
      <c r="EB37" s="258"/>
      <c r="EC37" s="258"/>
      <c r="FB37" s="322"/>
      <c r="FC37" s="322"/>
      <c r="FD37" s="322"/>
      <c r="FE37" s="322"/>
      <c r="FF37" s="322"/>
      <c r="FG37" s="322"/>
      <c r="FH37" s="322"/>
      <c r="FI37" s="322"/>
      <c r="FK37" s="322"/>
      <c r="FM37" s="310"/>
      <c r="FN37" s="310"/>
      <c r="FO37" s="310"/>
      <c r="FP37" s="310"/>
      <c r="FQ37" s="310"/>
      <c r="FR37" s="310"/>
      <c r="FS37" s="310"/>
      <c r="FT37" s="310"/>
      <c r="FU37" s="126"/>
      <c r="FV37" s="126"/>
      <c r="FW37" s="126"/>
      <c r="FX37" s="126"/>
      <c r="FY37" s="126"/>
      <c r="FZ37" s="126"/>
      <c r="GA37" s="126"/>
      <c r="GB37" s="126"/>
      <c r="GC37" s="126"/>
      <c r="GD37" s="126"/>
    </row>
    <row r="38" spans="2:186" s="118" customFormat="1" ht="13.5" customHeight="1" x14ac:dyDescent="0.2">
      <c r="B38" s="324"/>
      <c r="C38" s="324"/>
      <c r="D38" s="324"/>
      <c r="E38" s="324"/>
      <c r="F38" s="258"/>
      <c r="G38" s="258"/>
      <c r="H38" s="258"/>
      <c r="I38" s="258"/>
      <c r="J38" s="258"/>
      <c r="K38" s="258"/>
      <c r="L38" s="258"/>
      <c r="M38" s="123"/>
      <c r="N38" s="258"/>
      <c r="O38" s="258"/>
      <c r="P38" s="258"/>
      <c r="Q38" s="258"/>
      <c r="R38" s="258"/>
      <c r="S38" s="330"/>
      <c r="T38" s="258"/>
      <c r="U38" s="258"/>
      <c r="V38" s="258"/>
      <c r="W38" s="258"/>
      <c r="X38" s="122"/>
      <c r="Y38" s="258"/>
      <c r="Z38" s="258"/>
      <c r="AA38" s="258"/>
      <c r="AB38" s="258"/>
      <c r="AC38" s="258"/>
      <c r="AD38" s="258"/>
      <c r="AE38" s="258"/>
      <c r="AF38" s="258"/>
      <c r="AG38" s="258"/>
      <c r="AH38" s="258"/>
      <c r="AI38" s="258"/>
      <c r="AJ38" s="258"/>
      <c r="AK38" s="258"/>
      <c r="AL38" s="258"/>
      <c r="AM38" s="258"/>
      <c r="AN38" s="258"/>
      <c r="AO38" s="258"/>
      <c r="AP38" s="258"/>
      <c r="AQ38" s="258"/>
      <c r="AR38" s="258"/>
      <c r="AS38" s="258"/>
      <c r="AT38" s="258"/>
      <c r="AU38" s="258"/>
      <c r="AV38" s="258"/>
      <c r="AW38" s="258"/>
      <c r="AX38" s="258"/>
      <c r="AY38" s="258"/>
      <c r="AZ38" s="258"/>
      <c r="BA38" s="258"/>
      <c r="BB38" s="258"/>
      <c r="BC38" s="258"/>
      <c r="BD38" s="258"/>
      <c r="BE38" s="258"/>
      <c r="BF38" s="258"/>
      <c r="BG38" s="258"/>
      <c r="BH38" s="258"/>
      <c r="BI38" s="258"/>
      <c r="BJ38" s="258"/>
      <c r="BK38" s="258"/>
      <c r="BL38" s="258"/>
      <c r="BM38" s="258"/>
      <c r="BN38" s="258"/>
      <c r="BO38" s="258"/>
      <c r="BP38" s="258"/>
      <c r="BQ38" s="258"/>
      <c r="BR38" s="258"/>
      <c r="BS38" s="258"/>
      <c r="BT38" s="258"/>
      <c r="BU38" s="258"/>
      <c r="BV38" s="258"/>
      <c r="BW38" s="258"/>
      <c r="BX38" s="258"/>
      <c r="BY38" s="258"/>
      <c r="BZ38" s="258"/>
      <c r="CA38" s="258"/>
      <c r="CB38" s="258"/>
      <c r="CC38" s="258"/>
      <c r="CD38" s="258"/>
      <c r="CE38" s="258"/>
      <c r="CF38" s="258"/>
      <c r="CG38" s="258"/>
      <c r="CH38" s="258"/>
      <c r="CI38" s="258"/>
      <c r="CJ38" s="258"/>
      <c r="CK38" s="258"/>
      <c r="CL38" s="258"/>
      <c r="CM38" s="258"/>
      <c r="CN38" s="258"/>
      <c r="CO38" s="258"/>
      <c r="CP38" s="258"/>
      <c r="CQ38" s="258"/>
      <c r="CR38" s="258"/>
      <c r="CS38" s="258"/>
      <c r="CT38" s="258"/>
      <c r="CU38" s="258"/>
      <c r="CV38" s="258"/>
      <c r="CW38" s="258"/>
      <c r="CX38" s="258"/>
      <c r="CY38" s="258"/>
      <c r="CZ38" s="258"/>
      <c r="DA38" s="258"/>
      <c r="DB38" s="258"/>
      <c r="DC38" s="258"/>
      <c r="DD38" s="258"/>
      <c r="DE38" s="258"/>
      <c r="DF38" s="258"/>
      <c r="DG38" s="258"/>
      <c r="DH38" s="258"/>
      <c r="DI38" s="258"/>
      <c r="DJ38" s="258"/>
      <c r="DK38" s="258"/>
      <c r="DL38" s="258"/>
      <c r="DM38" s="258"/>
      <c r="DN38" s="258"/>
      <c r="DO38" s="258"/>
      <c r="DP38" s="258"/>
      <c r="DQ38" s="258"/>
      <c r="DR38" s="258"/>
      <c r="DS38" s="258"/>
      <c r="DT38" s="258"/>
      <c r="DU38" s="258"/>
      <c r="DV38" s="258"/>
      <c r="DW38" s="258"/>
      <c r="DX38" s="258"/>
      <c r="DY38" s="258"/>
      <c r="DZ38" s="258"/>
      <c r="EA38" s="258"/>
      <c r="EB38" s="258"/>
      <c r="EC38" s="258"/>
      <c r="FB38" s="258"/>
      <c r="FC38" s="258"/>
      <c r="FD38" s="258"/>
      <c r="FE38" s="258"/>
      <c r="FF38" s="258"/>
      <c r="FG38" s="258"/>
      <c r="FH38" s="258"/>
      <c r="FI38" s="258"/>
      <c r="FK38" s="258"/>
      <c r="FM38" s="310"/>
      <c r="FN38" s="310"/>
      <c r="FO38" s="310"/>
      <c r="FP38" s="310"/>
      <c r="FQ38" s="310"/>
      <c r="FR38" s="310"/>
      <c r="FS38" s="310"/>
      <c r="FT38" s="310"/>
      <c r="FU38" s="126"/>
      <c r="FV38" s="126"/>
      <c r="FW38" s="126"/>
      <c r="FX38" s="126"/>
      <c r="FY38" s="126"/>
      <c r="FZ38" s="126"/>
      <c r="GA38" s="126"/>
      <c r="GB38" s="126"/>
      <c r="GC38" s="126"/>
      <c r="GD38" s="126"/>
    </row>
    <row r="39" spans="2:186" s="118" customFormat="1" ht="13.5" customHeight="1" x14ac:dyDescent="0.2">
      <c r="B39" s="158" t="str">
        <f>+B5</f>
        <v>SPARROW, Luke</v>
      </c>
      <c r="C39" s="324"/>
      <c r="D39" s="324"/>
      <c r="E39" s="324"/>
      <c r="F39" s="258"/>
      <c r="G39" s="258"/>
      <c r="H39" s="258"/>
      <c r="I39" s="258"/>
      <c r="J39" s="258"/>
      <c r="K39" s="258"/>
      <c r="L39" s="258"/>
      <c r="M39" s="123"/>
      <c r="N39" s="258"/>
      <c r="O39" s="258"/>
      <c r="P39" s="258"/>
      <c r="Q39" s="330">
        <f>S5-S39</f>
        <v>0</v>
      </c>
      <c r="R39" s="258"/>
      <c r="S39" s="330">
        <f>Y39+AD39+AI39+AN39+AS39+AX39+BC39+BH39+BM39+BR39+BW39+CB39+CG39+CL39+CQ39+CV39+DA39+DF39+DK39+DP39+DU39</f>
        <v>228.20000000000002</v>
      </c>
      <c r="T39" s="258"/>
      <c r="U39" s="258"/>
      <c r="V39" s="258"/>
      <c r="W39" s="258"/>
      <c r="X39" s="122"/>
      <c r="Y39" s="258">
        <f>SUM(Z39:AB39)</f>
        <v>0</v>
      </c>
      <c r="Z39" s="258"/>
      <c r="AA39" s="258">
        <f>-AA5/5</f>
        <v>0</v>
      </c>
      <c r="AB39" s="258">
        <f>AB5*20</f>
        <v>0</v>
      </c>
      <c r="AC39" s="258"/>
      <c r="AD39" s="258">
        <f t="shared" ref="AD39:AD66" si="18">SUM(AE39:AG39)</f>
        <v>0</v>
      </c>
      <c r="AE39" s="258"/>
      <c r="AF39" s="258">
        <f t="shared" ref="AF39:BJ41" si="19">-AF5/5</f>
        <v>0</v>
      </c>
      <c r="AG39" s="258">
        <f t="shared" ref="AG39:BK43" si="20">AG5*20</f>
        <v>0</v>
      </c>
      <c r="AH39" s="258"/>
      <c r="AI39" s="258">
        <f t="shared" ref="AI39:AI66" si="21">SUM(AJ39:AL39)</f>
        <v>10.199999999999999</v>
      </c>
      <c r="AJ39" s="258"/>
      <c r="AK39" s="258">
        <f t="shared" ref="AK39" si="22">-AK5/5</f>
        <v>-9.8000000000000007</v>
      </c>
      <c r="AL39" s="258">
        <f t="shared" ref="AL39" si="23">AL5*20</f>
        <v>20</v>
      </c>
      <c r="AM39" s="258"/>
      <c r="AN39" s="258">
        <f t="shared" ref="AN39:AN66" si="24">SUM(AO39:AQ39)</f>
        <v>29</v>
      </c>
      <c r="AO39" s="258"/>
      <c r="AP39" s="258">
        <f t="shared" ref="AP39" si="25">-AP5/5</f>
        <v>-11</v>
      </c>
      <c r="AQ39" s="258">
        <f t="shared" ref="AQ39" si="26">AQ5*20</f>
        <v>40</v>
      </c>
      <c r="AR39" s="258"/>
      <c r="AS39" s="258">
        <f t="shared" ref="AS39:AS66" si="27">SUM(AT39:AV39)</f>
        <v>0</v>
      </c>
      <c r="AT39" s="258"/>
      <c r="AU39" s="258">
        <f t="shared" ref="AU39" si="28">-AU5/5</f>
        <v>0</v>
      </c>
      <c r="AV39" s="258">
        <f t="shared" ref="AV39" si="29">AV5*20</f>
        <v>0</v>
      </c>
      <c r="AW39" s="258"/>
      <c r="AX39" s="258">
        <f t="shared" ref="AX39:AX66" si="30">SUM(AY39:BA39)</f>
        <v>0</v>
      </c>
      <c r="AY39" s="258"/>
      <c r="AZ39" s="258">
        <f t="shared" ref="AZ39" si="31">-AZ5/5</f>
        <v>0</v>
      </c>
      <c r="BA39" s="258">
        <f t="shared" ref="BA39" si="32">BA5*20</f>
        <v>0</v>
      </c>
      <c r="BB39" s="258"/>
      <c r="BC39" s="258">
        <f t="shared" ref="BC39:BC66" si="33">SUM(BD39:BF39)</f>
        <v>19.2</v>
      </c>
      <c r="BD39" s="258"/>
      <c r="BE39" s="258">
        <f t="shared" ref="BE39" si="34">-BE5/5</f>
        <v>-0.8</v>
      </c>
      <c r="BF39" s="258">
        <f t="shared" ref="BF39" si="35">BF5*20</f>
        <v>20</v>
      </c>
      <c r="BG39" s="258"/>
      <c r="BH39" s="258">
        <f t="shared" ref="BH39:BH66" si="36">SUM(BI39:BK39)</f>
        <v>12.2</v>
      </c>
      <c r="BI39" s="258"/>
      <c r="BJ39" s="258">
        <f t="shared" ref="BJ39" si="37">-BJ5/5</f>
        <v>-7.8</v>
      </c>
      <c r="BK39" s="258">
        <f t="shared" ref="BK39" si="38">BK5*20</f>
        <v>20</v>
      </c>
      <c r="BL39" s="258"/>
      <c r="BM39" s="258">
        <f t="shared" ref="BM39:BM66" si="39">SUM(BN39:BP39)</f>
        <v>36.6</v>
      </c>
      <c r="BN39" s="258"/>
      <c r="BO39" s="258">
        <f t="shared" ref="BO39:CS41" si="40">-BO5/5</f>
        <v>-3.4</v>
      </c>
      <c r="BP39" s="258">
        <f t="shared" ref="BP39:CT43" si="41">BP5*20</f>
        <v>40</v>
      </c>
      <c r="BQ39" s="258"/>
      <c r="BR39" s="258">
        <f t="shared" ref="BR39:BR66" si="42">SUM(BS39:BU39)</f>
        <v>55.2</v>
      </c>
      <c r="BS39" s="258"/>
      <c r="BT39" s="258">
        <f t="shared" ref="BT39" si="43">-BT5/5</f>
        <v>-4.8</v>
      </c>
      <c r="BU39" s="258">
        <f t="shared" ref="BU39" si="44">BU5*20</f>
        <v>60</v>
      </c>
      <c r="BV39" s="258"/>
      <c r="BW39" s="258">
        <f t="shared" ref="BW39:BW66" si="45">SUM(BX39:BZ39)</f>
        <v>0</v>
      </c>
      <c r="BX39" s="258"/>
      <c r="BY39" s="258">
        <f t="shared" ref="BY39" si="46">-BY5/5</f>
        <v>0</v>
      </c>
      <c r="BZ39" s="258">
        <f t="shared" ref="BZ39" si="47">BZ5*20</f>
        <v>0</v>
      </c>
      <c r="CA39" s="258"/>
      <c r="CB39" s="258">
        <f t="shared" ref="CB39:CB66" si="48">SUM(CC39:CE39)</f>
        <v>-0.6</v>
      </c>
      <c r="CC39" s="258"/>
      <c r="CD39" s="258">
        <f t="shared" ref="CD39" si="49">-CD5/5</f>
        <v>-0.6</v>
      </c>
      <c r="CE39" s="258">
        <f t="shared" ref="CE39" si="50">CE5*20</f>
        <v>0</v>
      </c>
      <c r="CF39" s="258"/>
      <c r="CG39" s="258">
        <f t="shared" ref="CG39:CG66" si="51">SUM(CH39:CJ39)</f>
        <v>0</v>
      </c>
      <c r="CH39" s="258"/>
      <c r="CI39" s="258">
        <f t="shared" ref="CI39" si="52">-CI5/5</f>
        <v>0</v>
      </c>
      <c r="CJ39" s="258">
        <f t="shared" ref="CJ39" si="53">CJ5*20</f>
        <v>0</v>
      </c>
      <c r="CK39" s="258"/>
      <c r="CL39" s="258">
        <f t="shared" ref="CL39:CL66" si="54">SUM(CM39:CO39)</f>
        <v>0</v>
      </c>
      <c r="CM39" s="258"/>
      <c r="CN39" s="258">
        <f t="shared" ref="CN39" si="55">-CN5/5</f>
        <v>0</v>
      </c>
      <c r="CO39" s="258">
        <f t="shared" ref="CO39" si="56">CO5*20</f>
        <v>0</v>
      </c>
      <c r="CP39" s="258"/>
      <c r="CQ39" s="258">
        <f t="shared" ref="CQ39:CQ66" si="57">SUM(CR39:CT39)</f>
        <v>0</v>
      </c>
      <c r="CR39" s="258"/>
      <c r="CS39" s="258">
        <f t="shared" ref="CS39" si="58">-CS5/5</f>
        <v>0</v>
      </c>
      <c r="CT39" s="258">
        <f t="shared" ref="CT39" si="59">CT5*20</f>
        <v>0</v>
      </c>
      <c r="CU39" s="258"/>
      <c r="CV39" s="258">
        <f t="shared" ref="CV39:CV66" si="60">SUM(CW39:CY39)</f>
        <v>0</v>
      </c>
      <c r="CW39" s="258"/>
      <c r="CX39" s="258">
        <f t="shared" ref="CX39:DR41" si="61">-CX5/5</f>
        <v>0</v>
      </c>
      <c r="CY39" s="258">
        <f t="shared" ref="CY39:DS43" si="62">CY5*20</f>
        <v>0</v>
      </c>
      <c r="CZ39" s="258"/>
      <c r="DA39" s="258">
        <f t="shared" ref="DA39:DA66" si="63">SUM(DB39:DD39)</f>
        <v>37.799999999999997</v>
      </c>
      <c r="DB39" s="258"/>
      <c r="DC39" s="258">
        <f t="shared" ref="DC39" si="64">-DC5/5</f>
        <v>-2.2000000000000002</v>
      </c>
      <c r="DD39" s="258">
        <f t="shared" ref="DD39" si="65">DD5*20</f>
        <v>40</v>
      </c>
      <c r="DE39" s="258"/>
      <c r="DF39" s="258">
        <f t="shared" ref="DF39:DF66" si="66">SUM(DG39:DI39)</f>
        <v>32.6</v>
      </c>
      <c r="DG39" s="258"/>
      <c r="DH39" s="258">
        <f t="shared" ref="DH39" si="67">-DH5/5</f>
        <v>-7.4</v>
      </c>
      <c r="DI39" s="258">
        <f t="shared" ref="DI39" si="68">DI5*20</f>
        <v>40</v>
      </c>
      <c r="DJ39" s="258"/>
      <c r="DK39" s="258">
        <f t="shared" ref="DK39:DK66" si="69">SUM(DL39:DN39)</f>
        <v>-4</v>
      </c>
      <c r="DL39" s="258"/>
      <c r="DM39" s="258">
        <f t="shared" ref="DM39" si="70">-DM5/5</f>
        <v>-4</v>
      </c>
      <c r="DN39" s="258">
        <f t="shared" ref="DN39" si="71">DN5*20</f>
        <v>0</v>
      </c>
      <c r="DO39" s="258"/>
      <c r="DP39" s="258">
        <f t="shared" ref="DP39:DP66" si="72">SUM(DQ39:DS39)</f>
        <v>0</v>
      </c>
      <c r="DQ39" s="258"/>
      <c r="DR39" s="258">
        <f t="shared" ref="DR39" si="73">-DR5/5</f>
        <v>0</v>
      </c>
      <c r="DS39" s="258">
        <f t="shared" ref="DS39" si="74">DS5*20</f>
        <v>0</v>
      </c>
      <c r="DT39" s="258"/>
      <c r="DU39" s="258"/>
      <c r="DV39" s="258"/>
      <c r="DW39" s="258"/>
      <c r="DX39" s="258"/>
      <c r="DY39" s="258"/>
      <c r="DZ39" s="258"/>
      <c r="EA39" s="258"/>
      <c r="EB39" s="258"/>
      <c r="EC39" s="258"/>
      <c r="FB39" s="258"/>
      <c r="FC39" s="258"/>
      <c r="FD39" s="258"/>
      <c r="FE39" s="258"/>
      <c r="FF39" s="258"/>
      <c r="FG39" s="258"/>
      <c r="FH39" s="258"/>
      <c r="FI39" s="258"/>
      <c r="FK39" s="258"/>
      <c r="FM39" s="310"/>
      <c r="FN39" s="310"/>
      <c r="FO39" s="310"/>
      <c r="FP39" s="310"/>
      <c r="FQ39" s="310"/>
      <c r="FR39" s="310"/>
      <c r="FS39" s="310"/>
      <c r="FT39" s="310"/>
      <c r="FU39" s="126"/>
      <c r="FV39" s="126"/>
      <c r="FW39" s="126"/>
      <c r="FX39" s="126"/>
      <c r="FY39" s="126"/>
      <c r="FZ39" s="126"/>
      <c r="GA39" s="126"/>
      <c r="GB39" s="126"/>
      <c r="GC39" s="126"/>
      <c r="GD39" s="126"/>
    </row>
    <row r="40" spans="2:186" s="118" customFormat="1" ht="13.5" customHeight="1" x14ac:dyDescent="0.2">
      <c r="B40" s="158" t="str">
        <f>+B6</f>
        <v>GRIEVE, Nick</v>
      </c>
      <c r="C40" s="324"/>
      <c r="D40" s="324"/>
      <c r="E40" s="324"/>
      <c r="F40" s="258"/>
      <c r="G40" s="258"/>
      <c r="H40" s="258"/>
      <c r="I40" s="258"/>
      <c r="J40" s="258"/>
      <c r="K40" s="258"/>
      <c r="L40" s="258"/>
      <c r="M40" s="123"/>
      <c r="N40" s="258"/>
      <c r="O40" s="258"/>
      <c r="P40" s="258"/>
      <c r="Q40" s="330">
        <f t="shared" ref="Q40:Q43" si="75">S6-S40</f>
        <v>0</v>
      </c>
      <c r="R40" s="258"/>
      <c r="S40" s="330">
        <f t="shared" ref="S40:S66" si="76">Y40+AD40+AI40+AN40+AS40+AX40+BC40+BH40+BM40+BR40+BW40+CB40+CG40+CL40+CQ40+CV40+DA40+DF40+DK40+DP40+DU40</f>
        <v>170</v>
      </c>
      <c r="T40" s="258"/>
      <c r="U40" s="258"/>
      <c r="V40" s="258"/>
      <c r="W40" s="258"/>
      <c r="X40" s="122"/>
      <c r="Y40" s="258">
        <f t="shared" ref="Y40:Y66" si="77">SUM(Z40:AB40)</f>
        <v>0</v>
      </c>
      <c r="Z40" s="258"/>
      <c r="AA40" s="258">
        <f t="shared" ref="AA40:AA43" si="78">-AA6/5</f>
        <v>0</v>
      </c>
      <c r="AB40" s="258">
        <f t="shared" ref="AB40:AB43" si="79">AB6*20</f>
        <v>0</v>
      </c>
      <c r="AC40" s="258"/>
      <c r="AD40" s="258">
        <f t="shared" si="18"/>
        <v>0</v>
      </c>
      <c r="AE40" s="258"/>
      <c r="AF40" s="258">
        <f t="shared" si="19"/>
        <v>0</v>
      </c>
      <c r="AG40" s="258">
        <f t="shared" si="20"/>
        <v>0</v>
      </c>
      <c r="AH40" s="258"/>
      <c r="AI40" s="258">
        <f t="shared" si="21"/>
        <v>-3.2</v>
      </c>
      <c r="AJ40" s="258"/>
      <c r="AK40" s="258">
        <f t="shared" si="19"/>
        <v>-3.2</v>
      </c>
      <c r="AL40" s="258">
        <f t="shared" si="20"/>
        <v>0</v>
      </c>
      <c r="AM40" s="258"/>
      <c r="AN40" s="258">
        <f t="shared" si="24"/>
        <v>0</v>
      </c>
      <c r="AO40" s="258"/>
      <c r="AP40" s="258">
        <f t="shared" si="19"/>
        <v>0</v>
      </c>
      <c r="AQ40" s="258">
        <f t="shared" si="20"/>
        <v>0</v>
      </c>
      <c r="AR40" s="258"/>
      <c r="AS40" s="258">
        <f t="shared" si="27"/>
        <v>-8</v>
      </c>
      <c r="AT40" s="258"/>
      <c r="AU40" s="258">
        <f t="shared" si="19"/>
        <v>-8</v>
      </c>
      <c r="AV40" s="258">
        <f t="shared" si="20"/>
        <v>0</v>
      </c>
      <c r="AW40" s="258"/>
      <c r="AX40" s="258">
        <f t="shared" si="30"/>
        <v>0</v>
      </c>
      <c r="AY40" s="258"/>
      <c r="AZ40" s="258">
        <f t="shared" si="19"/>
        <v>0</v>
      </c>
      <c r="BA40" s="258">
        <f t="shared" si="20"/>
        <v>0</v>
      </c>
      <c r="BB40" s="258"/>
      <c r="BC40" s="258">
        <f t="shared" si="33"/>
        <v>37.4</v>
      </c>
      <c r="BD40" s="258"/>
      <c r="BE40" s="258">
        <f t="shared" si="19"/>
        <v>-2.6</v>
      </c>
      <c r="BF40" s="258">
        <f t="shared" si="20"/>
        <v>40</v>
      </c>
      <c r="BG40" s="258"/>
      <c r="BH40" s="258">
        <f t="shared" si="36"/>
        <v>0</v>
      </c>
      <c r="BI40" s="258"/>
      <c r="BJ40" s="258">
        <f t="shared" si="19"/>
        <v>0</v>
      </c>
      <c r="BK40" s="258">
        <f t="shared" si="20"/>
        <v>0</v>
      </c>
      <c r="BL40" s="258"/>
      <c r="BM40" s="258">
        <f t="shared" si="39"/>
        <v>28</v>
      </c>
      <c r="BN40" s="258"/>
      <c r="BO40" s="258">
        <f t="shared" si="40"/>
        <v>-12</v>
      </c>
      <c r="BP40" s="258">
        <f t="shared" si="41"/>
        <v>40</v>
      </c>
      <c r="BQ40" s="258"/>
      <c r="BR40" s="258">
        <f t="shared" si="42"/>
        <v>0</v>
      </c>
      <c r="BS40" s="258"/>
      <c r="BT40" s="258">
        <f t="shared" si="40"/>
        <v>0</v>
      </c>
      <c r="BU40" s="258">
        <f t="shared" si="41"/>
        <v>0</v>
      </c>
      <c r="BV40" s="258"/>
      <c r="BW40" s="258">
        <f t="shared" si="45"/>
        <v>0</v>
      </c>
      <c r="BX40" s="258"/>
      <c r="BY40" s="258">
        <f t="shared" si="40"/>
        <v>0</v>
      </c>
      <c r="BZ40" s="258">
        <f t="shared" si="41"/>
        <v>0</v>
      </c>
      <c r="CA40" s="258"/>
      <c r="CB40" s="258">
        <f t="shared" si="48"/>
        <v>30.6</v>
      </c>
      <c r="CC40" s="258"/>
      <c r="CD40" s="258">
        <f t="shared" si="40"/>
        <v>-9.4</v>
      </c>
      <c r="CE40" s="258">
        <f t="shared" si="41"/>
        <v>40</v>
      </c>
      <c r="CF40" s="258"/>
      <c r="CG40" s="258">
        <f t="shared" si="51"/>
        <v>0</v>
      </c>
      <c r="CH40" s="258"/>
      <c r="CI40" s="258">
        <f t="shared" si="40"/>
        <v>0</v>
      </c>
      <c r="CJ40" s="258">
        <f t="shared" si="41"/>
        <v>0</v>
      </c>
      <c r="CK40" s="258"/>
      <c r="CL40" s="258">
        <f t="shared" si="54"/>
        <v>56.2</v>
      </c>
      <c r="CM40" s="258"/>
      <c r="CN40" s="258">
        <f t="shared" si="40"/>
        <v>-3.8</v>
      </c>
      <c r="CO40" s="258">
        <f t="shared" si="41"/>
        <v>60</v>
      </c>
      <c r="CP40" s="258"/>
      <c r="CQ40" s="258">
        <f t="shared" si="57"/>
        <v>0</v>
      </c>
      <c r="CR40" s="258"/>
      <c r="CS40" s="258">
        <f t="shared" si="40"/>
        <v>0</v>
      </c>
      <c r="CT40" s="258">
        <f t="shared" si="41"/>
        <v>0</v>
      </c>
      <c r="CU40" s="258"/>
      <c r="CV40" s="258">
        <f t="shared" si="60"/>
        <v>-5.2</v>
      </c>
      <c r="CW40" s="258"/>
      <c r="CX40" s="258">
        <f t="shared" si="61"/>
        <v>-5.2</v>
      </c>
      <c r="CY40" s="258">
        <f t="shared" si="62"/>
        <v>0</v>
      </c>
      <c r="CZ40" s="258"/>
      <c r="DA40" s="258">
        <f t="shared" si="63"/>
        <v>34.200000000000003</v>
      </c>
      <c r="DB40" s="258"/>
      <c r="DC40" s="258">
        <f t="shared" si="61"/>
        <v>-5.8</v>
      </c>
      <c r="DD40" s="258">
        <f t="shared" si="62"/>
        <v>40</v>
      </c>
      <c r="DE40" s="258"/>
      <c r="DF40" s="258">
        <f t="shared" si="66"/>
        <v>0</v>
      </c>
      <c r="DG40" s="258"/>
      <c r="DH40" s="258">
        <f t="shared" si="61"/>
        <v>0</v>
      </c>
      <c r="DI40" s="258">
        <f t="shared" si="62"/>
        <v>0</v>
      </c>
      <c r="DJ40" s="258"/>
      <c r="DK40" s="258">
        <f t="shared" si="69"/>
        <v>0</v>
      </c>
      <c r="DL40" s="258"/>
      <c r="DM40" s="258">
        <f t="shared" si="61"/>
        <v>0</v>
      </c>
      <c r="DN40" s="258">
        <f t="shared" si="62"/>
        <v>0</v>
      </c>
      <c r="DO40" s="258"/>
      <c r="DP40" s="258">
        <f t="shared" si="72"/>
        <v>0</v>
      </c>
      <c r="DQ40" s="258"/>
      <c r="DR40" s="258">
        <f t="shared" si="61"/>
        <v>0</v>
      </c>
      <c r="DS40" s="258">
        <f t="shared" si="62"/>
        <v>0</v>
      </c>
      <c r="DT40" s="258"/>
      <c r="DU40" s="258"/>
      <c r="DV40" s="258"/>
      <c r="DW40" s="258"/>
      <c r="DX40" s="258"/>
      <c r="DY40" s="258"/>
      <c r="DZ40" s="258"/>
      <c r="EA40" s="258"/>
      <c r="EB40" s="258"/>
      <c r="EC40" s="258"/>
      <c r="FB40" s="258"/>
      <c r="FC40" s="258"/>
      <c r="FD40" s="258"/>
      <c r="FE40" s="258"/>
      <c r="FF40" s="258"/>
      <c r="FG40" s="258"/>
      <c r="FH40" s="258"/>
      <c r="FI40" s="258"/>
      <c r="FK40" s="258"/>
      <c r="FM40" s="310"/>
      <c r="FN40" s="310"/>
      <c r="FO40" s="310"/>
      <c r="FP40" s="310"/>
      <c r="FQ40" s="310"/>
      <c r="FR40" s="310"/>
      <c r="FS40" s="310"/>
      <c r="FT40" s="310"/>
      <c r="FU40" s="126"/>
      <c r="FV40" s="126"/>
      <c r="FW40" s="126"/>
      <c r="FX40" s="126"/>
      <c r="FY40" s="126"/>
      <c r="FZ40" s="126"/>
      <c r="GA40" s="126"/>
      <c r="GB40" s="126"/>
      <c r="GC40" s="126"/>
      <c r="GD40" s="126"/>
    </row>
    <row r="41" spans="2:186" s="118" customFormat="1" ht="13.5" customHeight="1" x14ac:dyDescent="0.2">
      <c r="B41" s="158" t="str">
        <f t="shared" ref="B41:B42" si="80">+B7</f>
        <v>MASON, Jim</v>
      </c>
      <c r="C41" s="324"/>
      <c r="D41" s="324"/>
      <c r="E41" s="324"/>
      <c r="F41" s="258"/>
      <c r="G41" s="258"/>
      <c r="H41" s="258"/>
      <c r="I41" s="258"/>
      <c r="J41" s="258"/>
      <c r="K41" s="258"/>
      <c r="L41" s="258"/>
      <c r="M41" s="123"/>
      <c r="N41" s="258"/>
      <c r="O41" s="258"/>
      <c r="P41" s="258"/>
      <c r="Q41" s="330">
        <f t="shared" si="75"/>
        <v>0</v>
      </c>
      <c r="R41" s="258"/>
      <c r="S41" s="330">
        <f t="shared" si="76"/>
        <v>280.2</v>
      </c>
      <c r="T41" s="258"/>
      <c r="U41" s="258"/>
      <c r="V41" s="258"/>
      <c r="W41" s="258"/>
      <c r="X41" s="122"/>
      <c r="Y41" s="258">
        <f t="shared" si="77"/>
        <v>0</v>
      </c>
      <c r="Z41" s="258"/>
      <c r="AA41" s="258">
        <f t="shared" si="78"/>
        <v>0</v>
      </c>
      <c r="AB41" s="258">
        <f t="shared" si="79"/>
        <v>0</v>
      </c>
      <c r="AC41" s="258"/>
      <c r="AD41" s="258">
        <f t="shared" si="18"/>
        <v>0</v>
      </c>
      <c r="AE41" s="258"/>
      <c r="AF41" s="258">
        <f t="shared" si="19"/>
        <v>0</v>
      </c>
      <c r="AG41" s="258">
        <f t="shared" si="20"/>
        <v>0</v>
      </c>
      <c r="AH41" s="258"/>
      <c r="AI41" s="258">
        <f t="shared" si="21"/>
        <v>-4.4000000000000004</v>
      </c>
      <c r="AJ41" s="258"/>
      <c r="AK41" s="258">
        <f t="shared" si="19"/>
        <v>-4.4000000000000004</v>
      </c>
      <c r="AL41" s="258">
        <f t="shared" si="20"/>
        <v>0</v>
      </c>
      <c r="AM41" s="258"/>
      <c r="AN41" s="258">
        <f t="shared" si="24"/>
        <v>54.4</v>
      </c>
      <c r="AO41" s="258"/>
      <c r="AP41" s="258">
        <f t="shared" si="19"/>
        <v>-5.6</v>
      </c>
      <c r="AQ41" s="258">
        <f t="shared" si="20"/>
        <v>60</v>
      </c>
      <c r="AR41" s="258"/>
      <c r="AS41" s="258">
        <f t="shared" si="27"/>
        <v>-6.6</v>
      </c>
      <c r="AT41" s="258"/>
      <c r="AU41" s="258">
        <f t="shared" si="19"/>
        <v>-6.6</v>
      </c>
      <c r="AV41" s="258">
        <f t="shared" si="20"/>
        <v>0</v>
      </c>
      <c r="AW41" s="258"/>
      <c r="AX41" s="258">
        <f t="shared" si="30"/>
        <v>0</v>
      </c>
      <c r="AY41" s="258"/>
      <c r="AZ41" s="258">
        <f t="shared" si="19"/>
        <v>0</v>
      </c>
      <c r="BA41" s="258">
        <f t="shared" si="20"/>
        <v>0</v>
      </c>
      <c r="BB41" s="258"/>
      <c r="BC41" s="258">
        <f t="shared" si="33"/>
        <v>0</v>
      </c>
      <c r="BD41" s="258"/>
      <c r="BE41" s="258">
        <f t="shared" si="19"/>
        <v>0</v>
      </c>
      <c r="BF41" s="258">
        <f t="shared" si="20"/>
        <v>0</v>
      </c>
      <c r="BG41" s="258"/>
      <c r="BH41" s="258">
        <f t="shared" si="36"/>
        <v>13.2</v>
      </c>
      <c r="BI41" s="258"/>
      <c r="BJ41" s="258">
        <f t="shared" si="19"/>
        <v>-6.8</v>
      </c>
      <c r="BK41" s="258">
        <f t="shared" si="20"/>
        <v>20</v>
      </c>
      <c r="BL41" s="258"/>
      <c r="BM41" s="258">
        <f t="shared" si="39"/>
        <v>57.6</v>
      </c>
      <c r="BN41" s="258"/>
      <c r="BO41" s="258">
        <f t="shared" si="40"/>
        <v>-2.4</v>
      </c>
      <c r="BP41" s="258">
        <f t="shared" si="41"/>
        <v>60</v>
      </c>
      <c r="BQ41" s="258"/>
      <c r="BR41" s="258">
        <f t="shared" si="42"/>
        <v>11.2</v>
      </c>
      <c r="BS41" s="258"/>
      <c r="BT41" s="258">
        <f t="shared" si="40"/>
        <v>-8.8000000000000007</v>
      </c>
      <c r="BU41" s="258">
        <f t="shared" si="41"/>
        <v>20</v>
      </c>
      <c r="BV41" s="258"/>
      <c r="BW41" s="258">
        <f t="shared" si="45"/>
        <v>10.199999999999999</v>
      </c>
      <c r="BX41" s="258"/>
      <c r="BY41" s="258">
        <f t="shared" si="40"/>
        <v>-9.8000000000000007</v>
      </c>
      <c r="BZ41" s="258">
        <f t="shared" si="41"/>
        <v>20</v>
      </c>
      <c r="CA41" s="258"/>
      <c r="CB41" s="258">
        <f t="shared" si="48"/>
        <v>0</v>
      </c>
      <c r="CC41" s="258"/>
      <c r="CD41" s="258">
        <f t="shared" si="40"/>
        <v>0</v>
      </c>
      <c r="CE41" s="258">
        <f t="shared" si="41"/>
        <v>0</v>
      </c>
      <c r="CF41" s="258"/>
      <c r="CG41" s="258">
        <f t="shared" si="51"/>
        <v>0</v>
      </c>
      <c r="CH41" s="258"/>
      <c r="CI41" s="258">
        <f t="shared" si="40"/>
        <v>0</v>
      </c>
      <c r="CJ41" s="258">
        <f t="shared" si="41"/>
        <v>0</v>
      </c>
      <c r="CK41" s="258"/>
      <c r="CL41" s="258">
        <f t="shared" si="54"/>
        <v>13</v>
      </c>
      <c r="CM41" s="258"/>
      <c r="CN41" s="258">
        <f t="shared" si="40"/>
        <v>-7</v>
      </c>
      <c r="CO41" s="258">
        <f t="shared" si="41"/>
        <v>20</v>
      </c>
      <c r="CP41" s="258"/>
      <c r="CQ41" s="258">
        <f t="shared" si="57"/>
        <v>0</v>
      </c>
      <c r="CR41" s="258"/>
      <c r="CS41" s="258">
        <f t="shared" si="40"/>
        <v>0</v>
      </c>
      <c r="CT41" s="258">
        <f t="shared" si="41"/>
        <v>0</v>
      </c>
      <c r="CU41" s="258"/>
      <c r="CV41" s="258">
        <f t="shared" si="60"/>
        <v>8.6</v>
      </c>
      <c r="CW41" s="258"/>
      <c r="CX41" s="258">
        <f t="shared" si="61"/>
        <v>-11.4</v>
      </c>
      <c r="CY41" s="258">
        <f t="shared" si="62"/>
        <v>20</v>
      </c>
      <c r="CZ41" s="258"/>
      <c r="DA41" s="258">
        <f t="shared" si="63"/>
        <v>38</v>
      </c>
      <c r="DB41" s="258"/>
      <c r="DC41" s="258">
        <f t="shared" si="61"/>
        <v>-2</v>
      </c>
      <c r="DD41" s="258">
        <f t="shared" si="62"/>
        <v>40</v>
      </c>
      <c r="DE41" s="258"/>
      <c r="DF41" s="258">
        <f t="shared" si="66"/>
        <v>34.799999999999997</v>
      </c>
      <c r="DG41" s="258"/>
      <c r="DH41" s="258">
        <f t="shared" si="61"/>
        <v>-5.2</v>
      </c>
      <c r="DI41" s="258">
        <f t="shared" si="62"/>
        <v>40</v>
      </c>
      <c r="DJ41" s="258"/>
      <c r="DK41" s="258">
        <f t="shared" si="69"/>
        <v>50.2</v>
      </c>
      <c r="DL41" s="258"/>
      <c r="DM41" s="258">
        <f t="shared" si="61"/>
        <v>-9.8000000000000007</v>
      </c>
      <c r="DN41" s="258">
        <f t="shared" si="62"/>
        <v>60</v>
      </c>
      <c r="DO41" s="258"/>
      <c r="DP41" s="258">
        <f t="shared" si="72"/>
        <v>0</v>
      </c>
      <c r="DQ41" s="258"/>
      <c r="DR41" s="258">
        <f t="shared" si="61"/>
        <v>0</v>
      </c>
      <c r="DS41" s="258">
        <f t="shared" si="62"/>
        <v>0</v>
      </c>
      <c r="DT41" s="258"/>
      <c r="DU41" s="258"/>
      <c r="DV41" s="258"/>
      <c r="DW41" s="258"/>
      <c r="DX41" s="258"/>
      <c r="DY41" s="258"/>
      <c r="DZ41" s="258"/>
      <c r="EA41" s="258"/>
      <c r="EB41" s="258"/>
      <c r="EC41" s="258"/>
      <c r="FB41" s="258"/>
      <c r="FC41" s="258"/>
      <c r="FD41" s="258"/>
      <c r="FE41" s="258"/>
      <c r="FF41" s="258"/>
      <c r="FG41" s="258"/>
      <c r="FH41" s="258"/>
      <c r="FI41" s="258"/>
      <c r="FK41" s="258"/>
      <c r="FM41" s="310"/>
      <c r="FN41" s="310"/>
      <c r="FO41" s="310"/>
      <c r="FP41" s="310"/>
      <c r="FQ41" s="310"/>
      <c r="FR41" s="310"/>
      <c r="FS41" s="310"/>
      <c r="FT41" s="310"/>
      <c r="FU41" s="126"/>
      <c r="FV41" s="126"/>
      <c r="FW41" s="126"/>
      <c r="FX41" s="126"/>
      <c r="FY41" s="126"/>
      <c r="FZ41" s="126"/>
      <c r="GA41" s="126"/>
      <c r="GB41" s="126"/>
      <c r="GC41" s="126"/>
      <c r="GD41" s="126"/>
    </row>
    <row r="42" spans="2:186" s="118" customFormat="1" ht="13.5" customHeight="1" x14ac:dyDescent="0.2">
      <c r="B42" s="158" t="str">
        <f t="shared" si="80"/>
        <v>PRICE, Richard</v>
      </c>
      <c r="C42" s="324"/>
      <c r="D42" s="324"/>
      <c r="E42" s="324"/>
      <c r="F42" s="258"/>
      <c r="G42" s="258"/>
      <c r="H42" s="258"/>
      <c r="I42" s="258"/>
      <c r="J42" s="258"/>
      <c r="K42" s="258"/>
      <c r="L42" s="258"/>
      <c r="M42" s="123"/>
      <c r="N42" s="258"/>
      <c r="O42" s="258"/>
      <c r="P42" s="258"/>
      <c r="Q42" s="330">
        <f t="shared" si="75"/>
        <v>0</v>
      </c>
      <c r="R42" s="258"/>
      <c r="S42" s="330">
        <f t="shared" si="76"/>
        <v>237.60000000000002</v>
      </c>
      <c r="T42" s="258"/>
      <c r="U42" s="258"/>
      <c r="V42" s="258"/>
      <c r="W42" s="258"/>
      <c r="X42" s="122"/>
      <c r="Y42" s="258">
        <f>SUM(Z42:AB42)</f>
        <v>0</v>
      </c>
      <c r="Z42" s="258"/>
      <c r="AA42" s="258">
        <f>-AA8/5</f>
        <v>0</v>
      </c>
      <c r="AB42" s="258">
        <f t="shared" si="79"/>
        <v>0</v>
      </c>
      <c r="AC42" s="258"/>
      <c r="AD42" s="258">
        <f t="shared" si="18"/>
        <v>0</v>
      </c>
      <c r="AE42" s="258"/>
      <c r="AF42" s="258">
        <f t="shared" ref="AF42:BJ43" si="81">-AF8/5</f>
        <v>0</v>
      </c>
      <c r="AG42" s="258">
        <f t="shared" si="20"/>
        <v>0</v>
      </c>
      <c r="AH42" s="258"/>
      <c r="AI42" s="258">
        <f t="shared" si="21"/>
        <v>13.4</v>
      </c>
      <c r="AJ42" s="258"/>
      <c r="AK42" s="258">
        <f t="shared" ref="AK42" si="82">-AK8/5</f>
        <v>-6.6</v>
      </c>
      <c r="AL42" s="258">
        <f t="shared" si="20"/>
        <v>20</v>
      </c>
      <c r="AM42" s="258"/>
      <c r="AN42" s="258">
        <f t="shared" si="24"/>
        <v>34.799999999999997</v>
      </c>
      <c r="AO42" s="258"/>
      <c r="AP42" s="258">
        <f t="shared" ref="AP42" si="83">-AP8/5</f>
        <v>-5.2</v>
      </c>
      <c r="AQ42" s="258">
        <f t="shared" si="20"/>
        <v>40</v>
      </c>
      <c r="AR42" s="258"/>
      <c r="AS42" s="258">
        <f t="shared" si="27"/>
        <v>-7.4</v>
      </c>
      <c r="AT42" s="258"/>
      <c r="AU42" s="258">
        <f t="shared" ref="AU42" si="84">-AU8/5</f>
        <v>-7.4</v>
      </c>
      <c r="AV42" s="258">
        <f t="shared" si="20"/>
        <v>0</v>
      </c>
      <c r="AW42" s="258"/>
      <c r="AX42" s="258">
        <f t="shared" si="30"/>
        <v>0</v>
      </c>
      <c r="AY42" s="258"/>
      <c r="AZ42" s="258">
        <f t="shared" ref="AZ42" si="85">-AZ8/5</f>
        <v>0</v>
      </c>
      <c r="BA42" s="258">
        <f t="shared" si="20"/>
        <v>0</v>
      </c>
      <c r="BB42" s="258"/>
      <c r="BC42" s="258">
        <f t="shared" si="33"/>
        <v>0</v>
      </c>
      <c r="BD42" s="258"/>
      <c r="BE42" s="258">
        <f t="shared" ref="BE42" si="86">-BE8/5</f>
        <v>0</v>
      </c>
      <c r="BF42" s="258">
        <f t="shared" si="20"/>
        <v>0</v>
      </c>
      <c r="BG42" s="258"/>
      <c r="BH42" s="258">
        <f t="shared" si="36"/>
        <v>-4.2</v>
      </c>
      <c r="BI42" s="258"/>
      <c r="BJ42" s="258">
        <f t="shared" ref="BJ42" si="87">-BJ8/5</f>
        <v>-4.2</v>
      </c>
      <c r="BK42" s="258">
        <f t="shared" si="20"/>
        <v>0</v>
      </c>
      <c r="BL42" s="258"/>
      <c r="BM42" s="258">
        <f t="shared" si="39"/>
        <v>16.399999999999999</v>
      </c>
      <c r="BN42" s="258"/>
      <c r="BO42" s="258">
        <f t="shared" ref="BO42:CS43" si="88">-BO8/5</f>
        <v>-3.6</v>
      </c>
      <c r="BP42" s="258">
        <f t="shared" si="41"/>
        <v>20</v>
      </c>
      <c r="BQ42" s="258"/>
      <c r="BR42" s="258">
        <f t="shared" si="42"/>
        <v>30</v>
      </c>
      <c r="BS42" s="258"/>
      <c r="BT42" s="258">
        <f t="shared" ref="BT42" si="89">-BT8/5</f>
        <v>-10</v>
      </c>
      <c r="BU42" s="258">
        <f t="shared" si="41"/>
        <v>40</v>
      </c>
      <c r="BV42" s="258"/>
      <c r="BW42" s="258">
        <f t="shared" si="45"/>
        <v>6.4</v>
      </c>
      <c r="BX42" s="258"/>
      <c r="BY42" s="258">
        <f t="shared" ref="BY42" si="90">-BY8/5</f>
        <v>-13.6</v>
      </c>
      <c r="BZ42" s="258">
        <f t="shared" si="41"/>
        <v>20</v>
      </c>
      <c r="CA42" s="258"/>
      <c r="CB42" s="258">
        <f t="shared" si="48"/>
        <v>15</v>
      </c>
      <c r="CC42" s="258"/>
      <c r="CD42" s="258">
        <f t="shared" ref="CD42" si="91">-CD8/5</f>
        <v>-5</v>
      </c>
      <c r="CE42" s="258">
        <f t="shared" si="41"/>
        <v>20</v>
      </c>
      <c r="CF42" s="258"/>
      <c r="CG42" s="258">
        <f t="shared" si="51"/>
        <v>0</v>
      </c>
      <c r="CH42" s="258"/>
      <c r="CI42" s="258">
        <f t="shared" ref="CI42" si="92">-CI8/5</f>
        <v>0</v>
      </c>
      <c r="CJ42" s="258">
        <f t="shared" si="41"/>
        <v>0</v>
      </c>
      <c r="CK42" s="258"/>
      <c r="CL42" s="258">
        <f t="shared" si="54"/>
        <v>56.8</v>
      </c>
      <c r="CM42" s="258"/>
      <c r="CN42" s="258">
        <f t="shared" ref="CN42" si="93">-CN8/5</f>
        <v>-3.2</v>
      </c>
      <c r="CO42" s="258">
        <f t="shared" si="41"/>
        <v>60</v>
      </c>
      <c r="CP42" s="258"/>
      <c r="CQ42" s="258">
        <f t="shared" si="57"/>
        <v>0</v>
      </c>
      <c r="CR42" s="258"/>
      <c r="CS42" s="258">
        <f t="shared" ref="CS42" si="94">-CS8/5</f>
        <v>0</v>
      </c>
      <c r="CT42" s="258">
        <f t="shared" si="41"/>
        <v>0</v>
      </c>
      <c r="CU42" s="258"/>
      <c r="CV42" s="258">
        <f t="shared" si="60"/>
        <v>7.6</v>
      </c>
      <c r="CW42" s="258"/>
      <c r="CX42" s="258">
        <f t="shared" ref="CX42:DR43" si="95">-CX8/5</f>
        <v>-12.4</v>
      </c>
      <c r="CY42" s="258">
        <f t="shared" si="62"/>
        <v>20</v>
      </c>
      <c r="CZ42" s="258"/>
      <c r="DA42" s="258">
        <f t="shared" si="63"/>
        <v>58.2</v>
      </c>
      <c r="DB42" s="258"/>
      <c r="DC42" s="258">
        <f t="shared" ref="DC42" si="96">-DC8/5</f>
        <v>-1.8</v>
      </c>
      <c r="DD42" s="258">
        <f t="shared" si="62"/>
        <v>60</v>
      </c>
      <c r="DE42" s="258"/>
      <c r="DF42" s="258">
        <f t="shared" si="66"/>
        <v>14.8</v>
      </c>
      <c r="DG42" s="258"/>
      <c r="DH42" s="258">
        <f t="shared" ref="DH42" si="97">-DH8/5</f>
        <v>-5.2</v>
      </c>
      <c r="DI42" s="258">
        <f t="shared" si="62"/>
        <v>20</v>
      </c>
      <c r="DJ42" s="258"/>
      <c r="DK42" s="258">
        <f t="shared" si="69"/>
        <v>-4.2</v>
      </c>
      <c r="DL42" s="258"/>
      <c r="DM42" s="258">
        <f t="shared" ref="DM42" si="98">-DM8/5</f>
        <v>-4.2</v>
      </c>
      <c r="DN42" s="258">
        <f t="shared" si="62"/>
        <v>0</v>
      </c>
      <c r="DO42" s="258"/>
      <c r="DP42" s="258">
        <f t="shared" si="72"/>
        <v>0</v>
      </c>
      <c r="DQ42" s="258"/>
      <c r="DR42" s="258">
        <f t="shared" ref="DR42" si="99">-DR8/5</f>
        <v>0</v>
      </c>
      <c r="DS42" s="258">
        <f t="shared" si="62"/>
        <v>0</v>
      </c>
      <c r="DT42" s="258"/>
      <c r="DU42" s="258"/>
      <c r="DV42" s="258"/>
      <c r="DW42" s="258"/>
      <c r="DX42" s="258"/>
      <c r="DY42" s="258"/>
      <c r="DZ42" s="258"/>
      <c r="EA42" s="258"/>
      <c r="EB42" s="258"/>
      <c r="EC42" s="258"/>
      <c r="FB42" s="258"/>
      <c r="FC42" s="258"/>
      <c r="FD42" s="258"/>
      <c r="FE42" s="258"/>
      <c r="FF42" s="258"/>
      <c r="FG42" s="258"/>
      <c r="FH42" s="258"/>
      <c r="FI42" s="258"/>
      <c r="FK42" s="258"/>
      <c r="FM42" s="310"/>
      <c r="FN42" s="310"/>
      <c r="FO42" s="310"/>
      <c r="FP42" s="310"/>
      <c r="FQ42" s="310"/>
      <c r="FR42" s="310"/>
      <c r="FS42" s="310"/>
      <c r="FT42" s="310"/>
      <c r="FU42" s="126"/>
      <c r="FV42" s="126"/>
      <c r="FW42" s="126"/>
      <c r="FX42" s="126"/>
      <c r="FY42" s="126"/>
      <c r="FZ42" s="126"/>
      <c r="GA42" s="126"/>
      <c r="GB42" s="126"/>
      <c r="GC42" s="126"/>
      <c r="GD42" s="126"/>
    </row>
    <row r="43" spans="2:186" s="118" customFormat="1" ht="13.5" customHeight="1" x14ac:dyDescent="0.2">
      <c r="B43" s="158" t="str">
        <f>+B9</f>
        <v>STYLES, Ryan</v>
      </c>
      <c r="C43" s="324"/>
      <c r="D43" s="324"/>
      <c r="E43" s="324"/>
      <c r="F43" s="258"/>
      <c r="G43" s="258"/>
      <c r="H43" s="258"/>
      <c r="I43" s="258"/>
      <c r="J43" s="258"/>
      <c r="K43" s="258"/>
      <c r="L43" s="258"/>
      <c r="M43" s="123"/>
      <c r="N43" s="258"/>
      <c r="O43" s="258"/>
      <c r="P43" s="258"/>
      <c r="Q43" s="330">
        <f t="shared" si="75"/>
        <v>0</v>
      </c>
      <c r="R43" s="258"/>
      <c r="S43" s="330">
        <f t="shared" si="76"/>
        <v>205.19999999999996</v>
      </c>
      <c r="T43" s="258"/>
      <c r="U43" s="258"/>
      <c r="V43" s="258"/>
      <c r="W43" s="258"/>
      <c r="X43" s="122"/>
      <c r="Y43" s="258">
        <f t="shared" si="77"/>
        <v>0</v>
      </c>
      <c r="Z43" s="258"/>
      <c r="AA43" s="258">
        <f t="shared" si="78"/>
        <v>0</v>
      </c>
      <c r="AB43" s="258">
        <f t="shared" si="79"/>
        <v>0</v>
      </c>
      <c r="AC43" s="258"/>
      <c r="AD43" s="258">
        <f t="shared" si="18"/>
        <v>0</v>
      </c>
      <c r="AE43" s="258"/>
      <c r="AF43" s="258">
        <f t="shared" si="81"/>
        <v>0</v>
      </c>
      <c r="AG43" s="258">
        <f t="shared" si="20"/>
        <v>0</v>
      </c>
      <c r="AH43" s="258"/>
      <c r="AI43" s="258">
        <f t="shared" si="21"/>
        <v>15.4</v>
      </c>
      <c r="AJ43" s="258"/>
      <c r="AK43" s="258">
        <f t="shared" si="81"/>
        <v>-4.5999999999999996</v>
      </c>
      <c r="AL43" s="258">
        <f t="shared" si="20"/>
        <v>20</v>
      </c>
      <c r="AM43" s="258"/>
      <c r="AN43" s="258">
        <f t="shared" si="24"/>
        <v>13.4</v>
      </c>
      <c r="AO43" s="258"/>
      <c r="AP43" s="258">
        <f t="shared" si="81"/>
        <v>-6.6</v>
      </c>
      <c r="AQ43" s="258">
        <f t="shared" si="20"/>
        <v>20</v>
      </c>
      <c r="AR43" s="258"/>
      <c r="AS43" s="258">
        <f t="shared" si="27"/>
        <v>8</v>
      </c>
      <c r="AT43" s="258"/>
      <c r="AU43" s="258">
        <f t="shared" si="81"/>
        <v>-12</v>
      </c>
      <c r="AV43" s="258">
        <f t="shared" si="20"/>
        <v>20</v>
      </c>
      <c r="AW43" s="258"/>
      <c r="AX43" s="258">
        <f t="shared" si="30"/>
        <v>0</v>
      </c>
      <c r="AY43" s="258"/>
      <c r="AZ43" s="258">
        <f t="shared" si="81"/>
        <v>0</v>
      </c>
      <c r="BA43" s="258">
        <f t="shared" si="20"/>
        <v>0</v>
      </c>
      <c r="BB43" s="258"/>
      <c r="BC43" s="258">
        <f t="shared" si="33"/>
        <v>74.599999999999994</v>
      </c>
      <c r="BD43" s="258"/>
      <c r="BE43" s="258">
        <f t="shared" si="81"/>
        <v>-5.4</v>
      </c>
      <c r="BF43" s="258">
        <f t="shared" si="20"/>
        <v>80</v>
      </c>
      <c r="BG43" s="258"/>
      <c r="BH43" s="258">
        <f t="shared" si="36"/>
        <v>0</v>
      </c>
      <c r="BI43" s="258"/>
      <c r="BJ43" s="258">
        <f t="shared" si="81"/>
        <v>0</v>
      </c>
      <c r="BK43" s="258">
        <f t="shared" si="20"/>
        <v>0</v>
      </c>
      <c r="BL43" s="258"/>
      <c r="BM43" s="258">
        <f t="shared" si="39"/>
        <v>0</v>
      </c>
      <c r="BN43" s="258"/>
      <c r="BO43" s="258">
        <f t="shared" si="88"/>
        <v>0</v>
      </c>
      <c r="BP43" s="258">
        <f t="shared" si="41"/>
        <v>0</v>
      </c>
      <c r="BQ43" s="258"/>
      <c r="BR43" s="258">
        <f t="shared" si="42"/>
        <v>0</v>
      </c>
      <c r="BS43" s="258"/>
      <c r="BT43" s="258">
        <f t="shared" si="88"/>
        <v>0</v>
      </c>
      <c r="BU43" s="258">
        <f t="shared" si="41"/>
        <v>0</v>
      </c>
      <c r="BV43" s="258"/>
      <c r="BW43" s="258">
        <f t="shared" si="45"/>
        <v>-7.2</v>
      </c>
      <c r="BX43" s="258"/>
      <c r="BY43" s="258">
        <f t="shared" si="88"/>
        <v>-7.2</v>
      </c>
      <c r="BZ43" s="258">
        <f t="shared" si="41"/>
        <v>0</v>
      </c>
      <c r="CA43" s="258"/>
      <c r="CB43" s="258">
        <f t="shared" si="48"/>
        <v>14</v>
      </c>
      <c r="CC43" s="258"/>
      <c r="CD43" s="258">
        <f t="shared" si="88"/>
        <v>-6</v>
      </c>
      <c r="CE43" s="258">
        <f t="shared" si="41"/>
        <v>20</v>
      </c>
      <c r="CF43" s="258"/>
      <c r="CG43" s="258">
        <f t="shared" si="51"/>
        <v>0</v>
      </c>
      <c r="CH43" s="258"/>
      <c r="CI43" s="258">
        <f t="shared" si="88"/>
        <v>0</v>
      </c>
      <c r="CJ43" s="258">
        <f t="shared" si="41"/>
        <v>0</v>
      </c>
      <c r="CK43" s="258"/>
      <c r="CL43" s="258">
        <f t="shared" si="54"/>
        <v>13.2</v>
      </c>
      <c r="CM43" s="258"/>
      <c r="CN43" s="258">
        <f t="shared" si="88"/>
        <v>-6.8</v>
      </c>
      <c r="CO43" s="258">
        <f t="shared" si="41"/>
        <v>20</v>
      </c>
      <c r="CP43" s="258"/>
      <c r="CQ43" s="258">
        <f t="shared" si="57"/>
        <v>0</v>
      </c>
      <c r="CR43" s="258"/>
      <c r="CS43" s="258">
        <f t="shared" si="88"/>
        <v>0</v>
      </c>
      <c r="CT43" s="258">
        <f t="shared" si="41"/>
        <v>0</v>
      </c>
      <c r="CU43" s="258"/>
      <c r="CV43" s="258">
        <f t="shared" si="60"/>
        <v>13</v>
      </c>
      <c r="CW43" s="258"/>
      <c r="CX43" s="258">
        <f t="shared" si="95"/>
        <v>-7</v>
      </c>
      <c r="CY43" s="258">
        <f t="shared" si="62"/>
        <v>20</v>
      </c>
      <c r="CZ43" s="258"/>
      <c r="DA43" s="258">
        <f t="shared" si="63"/>
        <v>13.2</v>
      </c>
      <c r="DB43" s="258"/>
      <c r="DC43" s="258">
        <f t="shared" si="95"/>
        <v>-6.8</v>
      </c>
      <c r="DD43" s="258">
        <f t="shared" si="62"/>
        <v>20</v>
      </c>
      <c r="DE43" s="258"/>
      <c r="DF43" s="258">
        <f t="shared" si="66"/>
        <v>52.6</v>
      </c>
      <c r="DG43" s="258"/>
      <c r="DH43" s="258">
        <f t="shared" si="95"/>
        <v>-7.4</v>
      </c>
      <c r="DI43" s="258">
        <f t="shared" si="62"/>
        <v>60</v>
      </c>
      <c r="DJ43" s="258"/>
      <c r="DK43" s="258">
        <f t="shared" si="69"/>
        <v>-5</v>
      </c>
      <c r="DL43" s="258"/>
      <c r="DM43" s="258">
        <f t="shared" si="95"/>
        <v>-5</v>
      </c>
      <c r="DN43" s="258">
        <f t="shared" si="62"/>
        <v>0</v>
      </c>
      <c r="DO43" s="258"/>
      <c r="DP43" s="258">
        <f t="shared" si="72"/>
        <v>0</v>
      </c>
      <c r="DQ43" s="258"/>
      <c r="DR43" s="258">
        <f t="shared" si="95"/>
        <v>0</v>
      </c>
      <c r="DS43" s="258">
        <f t="shared" si="62"/>
        <v>0</v>
      </c>
      <c r="DT43" s="258"/>
      <c r="DU43" s="258"/>
      <c r="DV43" s="258"/>
      <c r="DW43" s="258"/>
      <c r="DX43" s="258"/>
      <c r="DY43" s="258"/>
      <c r="DZ43" s="258"/>
      <c r="EA43" s="258"/>
      <c r="EB43" s="258"/>
      <c r="EC43" s="258"/>
      <c r="FB43" s="258"/>
      <c r="FC43" s="258"/>
      <c r="FD43" s="258"/>
      <c r="FE43" s="258"/>
      <c r="FF43" s="258"/>
      <c r="FG43" s="258"/>
      <c r="FH43" s="258"/>
      <c r="FI43" s="258"/>
      <c r="FK43" s="258"/>
      <c r="FM43" s="310"/>
      <c r="FN43" s="310"/>
      <c r="FO43" s="310"/>
      <c r="FP43" s="310"/>
      <c r="FQ43" s="310"/>
      <c r="FR43" s="310"/>
      <c r="FS43" s="310"/>
      <c r="FT43" s="310"/>
      <c r="FU43" s="126"/>
      <c r="FV43" s="126"/>
      <c r="FW43" s="126"/>
      <c r="FX43" s="126"/>
      <c r="FY43" s="126"/>
      <c r="FZ43" s="126"/>
      <c r="GA43" s="126"/>
      <c r="GB43" s="126"/>
      <c r="GC43" s="126"/>
      <c r="GD43" s="126"/>
    </row>
    <row r="44" spans="2:186" s="118" customFormat="1" ht="13.5" customHeight="1" x14ac:dyDescent="0.2">
      <c r="B44" s="158" t="str">
        <f>+B14</f>
        <v>NIAZ, Bilal</v>
      </c>
      <c r="C44" s="324"/>
      <c r="D44" s="324"/>
      <c r="E44" s="324"/>
      <c r="F44" s="258"/>
      <c r="G44" s="258"/>
      <c r="H44" s="258"/>
      <c r="I44" s="258"/>
      <c r="J44" s="258"/>
      <c r="K44" s="258"/>
      <c r="L44" s="258"/>
      <c r="M44" s="123"/>
      <c r="N44" s="258"/>
      <c r="O44" s="258"/>
      <c r="P44" s="258"/>
      <c r="Q44" s="330">
        <f>S14-S44</f>
        <v>0</v>
      </c>
      <c r="R44" s="258"/>
      <c r="S44" s="330">
        <f t="shared" si="76"/>
        <v>49.399999999999991</v>
      </c>
      <c r="T44" s="258"/>
      <c r="U44" s="258"/>
      <c r="V44" s="258"/>
      <c r="W44" s="258"/>
      <c r="X44" s="122"/>
      <c r="Y44" s="258">
        <f t="shared" si="77"/>
        <v>0</v>
      </c>
      <c r="Z44" s="258"/>
      <c r="AA44" s="258">
        <f>-AA14/5</f>
        <v>0</v>
      </c>
      <c r="AB44" s="258">
        <f>AB14*20</f>
        <v>0</v>
      </c>
      <c r="AC44" s="258"/>
      <c r="AD44" s="258">
        <f t="shared" si="18"/>
        <v>0</v>
      </c>
      <c r="AE44" s="258"/>
      <c r="AF44" s="258">
        <f t="shared" ref="AF44:BJ59" si="100">-AF14/5</f>
        <v>0</v>
      </c>
      <c r="AG44" s="258">
        <f t="shared" ref="AG44:BK59" si="101">AG14*20</f>
        <v>0</v>
      </c>
      <c r="AH44" s="258"/>
      <c r="AI44" s="258">
        <f t="shared" si="21"/>
        <v>0</v>
      </c>
      <c r="AJ44" s="258"/>
      <c r="AK44" s="258">
        <f t="shared" ref="AK44" si="102">-AK14/5</f>
        <v>0</v>
      </c>
      <c r="AL44" s="258">
        <f t="shared" ref="AL44" si="103">AL14*20</f>
        <v>0</v>
      </c>
      <c r="AM44" s="258"/>
      <c r="AN44" s="258">
        <f t="shared" si="24"/>
        <v>0</v>
      </c>
      <c r="AO44" s="258"/>
      <c r="AP44" s="258">
        <f t="shared" ref="AP44" si="104">-AP14/5</f>
        <v>0</v>
      </c>
      <c r="AQ44" s="258">
        <f t="shared" ref="AQ44" si="105">AQ14*20</f>
        <v>0</v>
      </c>
      <c r="AR44" s="258"/>
      <c r="AS44" s="258">
        <f t="shared" si="27"/>
        <v>0</v>
      </c>
      <c r="AT44" s="258"/>
      <c r="AU44" s="258">
        <f t="shared" ref="AU44" si="106">-AU14/5</f>
        <v>0</v>
      </c>
      <c r="AV44" s="258">
        <f t="shared" ref="AV44" si="107">AV14*20</f>
        <v>0</v>
      </c>
      <c r="AW44" s="258"/>
      <c r="AX44" s="258">
        <f t="shared" si="30"/>
        <v>0</v>
      </c>
      <c r="AY44" s="258"/>
      <c r="AZ44" s="258">
        <f t="shared" ref="AZ44" si="108">-AZ14/5</f>
        <v>0</v>
      </c>
      <c r="BA44" s="258">
        <f t="shared" ref="BA44" si="109">BA14*20</f>
        <v>0</v>
      </c>
      <c r="BB44" s="258"/>
      <c r="BC44" s="258">
        <f t="shared" si="33"/>
        <v>0</v>
      </c>
      <c r="BD44" s="258"/>
      <c r="BE44" s="258">
        <f t="shared" ref="BE44" si="110">-BE14/5</f>
        <v>0</v>
      </c>
      <c r="BF44" s="258">
        <f t="shared" ref="BF44" si="111">BF14*20</f>
        <v>0</v>
      </c>
      <c r="BG44" s="258"/>
      <c r="BH44" s="258">
        <f t="shared" si="36"/>
        <v>0</v>
      </c>
      <c r="BI44" s="258"/>
      <c r="BJ44" s="258">
        <f t="shared" ref="BJ44" si="112">-BJ14/5</f>
        <v>0</v>
      </c>
      <c r="BK44" s="258">
        <f t="shared" ref="BK44" si="113">BK14*20</f>
        <v>0</v>
      </c>
      <c r="BL44" s="258"/>
      <c r="BM44" s="258">
        <f t="shared" si="39"/>
        <v>0</v>
      </c>
      <c r="BN44" s="258"/>
      <c r="BO44" s="258">
        <f t="shared" ref="BO44:CS59" si="114">-BO14/5</f>
        <v>0</v>
      </c>
      <c r="BP44" s="258">
        <f t="shared" ref="BP44:CT59" si="115">BP14*20</f>
        <v>0</v>
      </c>
      <c r="BQ44" s="258"/>
      <c r="BR44" s="258">
        <f t="shared" si="42"/>
        <v>-10.8</v>
      </c>
      <c r="BS44" s="258"/>
      <c r="BT44" s="258">
        <f t="shared" ref="BT44" si="116">-BT14/5</f>
        <v>-10.8</v>
      </c>
      <c r="BU44" s="258">
        <f t="shared" ref="BU44" si="117">BU14*20</f>
        <v>0</v>
      </c>
      <c r="BV44" s="258"/>
      <c r="BW44" s="258">
        <f t="shared" si="45"/>
        <v>-4.4000000000000004</v>
      </c>
      <c r="BX44" s="258"/>
      <c r="BY44" s="258">
        <f t="shared" ref="BY44" si="118">-BY14/5</f>
        <v>-4.4000000000000004</v>
      </c>
      <c r="BZ44" s="258">
        <f t="shared" ref="BZ44" si="119">BZ14*20</f>
        <v>0</v>
      </c>
      <c r="CA44" s="258"/>
      <c r="CB44" s="258">
        <f t="shared" si="48"/>
        <v>31</v>
      </c>
      <c r="CC44" s="258"/>
      <c r="CD44" s="258">
        <f t="shared" ref="CD44" si="120">-CD14/5</f>
        <v>-9</v>
      </c>
      <c r="CE44" s="258">
        <f t="shared" ref="CE44" si="121">CE14*20</f>
        <v>40</v>
      </c>
      <c r="CF44" s="258"/>
      <c r="CG44" s="258">
        <f t="shared" si="51"/>
        <v>0</v>
      </c>
      <c r="CH44" s="258"/>
      <c r="CI44" s="258">
        <f t="shared" ref="CI44" si="122">-CI14/5</f>
        <v>0</v>
      </c>
      <c r="CJ44" s="258">
        <f t="shared" ref="CJ44" si="123">CJ14*20</f>
        <v>0</v>
      </c>
      <c r="CK44" s="258"/>
      <c r="CL44" s="258">
        <f t="shared" si="54"/>
        <v>-3.2</v>
      </c>
      <c r="CM44" s="258"/>
      <c r="CN44" s="258">
        <f t="shared" ref="CN44" si="124">-CN14/5</f>
        <v>-3.2</v>
      </c>
      <c r="CO44" s="258">
        <f t="shared" ref="CO44" si="125">CO14*20</f>
        <v>0</v>
      </c>
      <c r="CP44" s="258"/>
      <c r="CQ44" s="258">
        <f t="shared" si="57"/>
        <v>0</v>
      </c>
      <c r="CR44" s="258"/>
      <c r="CS44" s="258">
        <f t="shared" ref="CS44" si="126">-CS14/5</f>
        <v>0</v>
      </c>
      <c r="CT44" s="258">
        <f t="shared" ref="CT44" si="127">CT14*20</f>
        <v>0</v>
      </c>
      <c r="CU44" s="258"/>
      <c r="CV44" s="258">
        <f t="shared" si="60"/>
        <v>36.799999999999997</v>
      </c>
      <c r="CW44" s="258"/>
      <c r="CX44" s="258">
        <f t="shared" ref="CX44:DR59" si="128">-CX14/5</f>
        <v>-3.2</v>
      </c>
      <c r="CY44" s="258">
        <f t="shared" ref="CY44:DS59" si="129">CY14*20</f>
        <v>40</v>
      </c>
      <c r="CZ44" s="258"/>
      <c r="DA44" s="258">
        <f t="shared" si="63"/>
        <v>0</v>
      </c>
      <c r="DB44" s="258"/>
      <c r="DC44" s="258">
        <f t="shared" ref="DC44" si="130">-DC14/5</f>
        <v>0</v>
      </c>
      <c r="DD44" s="258">
        <f t="shared" ref="DD44" si="131">DD14*20</f>
        <v>0</v>
      </c>
      <c r="DE44" s="258"/>
      <c r="DF44" s="258">
        <f t="shared" si="66"/>
        <v>0</v>
      </c>
      <c r="DG44" s="258"/>
      <c r="DH44" s="258">
        <f t="shared" ref="DH44" si="132">-DH14/5</f>
        <v>0</v>
      </c>
      <c r="DI44" s="258">
        <f t="shared" ref="DI44" si="133">DI14*20</f>
        <v>0</v>
      </c>
      <c r="DJ44" s="258"/>
      <c r="DK44" s="258">
        <f t="shared" si="69"/>
        <v>0</v>
      </c>
      <c r="DL44" s="258"/>
      <c r="DM44" s="258">
        <f t="shared" ref="DM44" si="134">-DM14/5</f>
        <v>0</v>
      </c>
      <c r="DN44" s="258">
        <f t="shared" ref="DN44" si="135">DN14*20</f>
        <v>0</v>
      </c>
      <c r="DO44" s="258"/>
      <c r="DP44" s="258">
        <f t="shared" si="72"/>
        <v>0</v>
      </c>
      <c r="DQ44" s="258"/>
      <c r="DR44" s="258">
        <f t="shared" ref="DR44" si="136">-DR14/5</f>
        <v>0</v>
      </c>
      <c r="DS44" s="258">
        <f t="shared" ref="DS44" si="137">DS14*20</f>
        <v>0</v>
      </c>
      <c r="DT44" s="258"/>
      <c r="DU44" s="258"/>
      <c r="DV44" s="258"/>
      <c r="DW44" s="258"/>
      <c r="DX44" s="258"/>
      <c r="DY44" s="258"/>
      <c r="DZ44" s="258"/>
      <c r="EA44" s="258"/>
      <c r="EB44" s="258"/>
      <c r="EC44" s="258"/>
      <c r="FB44" s="258"/>
      <c r="FC44" s="258"/>
      <c r="FD44" s="258"/>
      <c r="FE44" s="258"/>
      <c r="FF44" s="258"/>
      <c r="FG44" s="258"/>
      <c r="FH44" s="258"/>
      <c r="FI44" s="258"/>
      <c r="FK44" s="258"/>
      <c r="FM44" s="310"/>
      <c r="FN44" s="310"/>
      <c r="FO44" s="310"/>
      <c r="FP44" s="310"/>
      <c r="FQ44" s="310"/>
      <c r="FR44" s="310"/>
      <c r="FS44" s="310"/>
      <c r="FT44" s="310"/>
      <c r="FU44" s="126"/>
      <c r="FV44" s="126"/>
      <c r="FW44" s="126"/>
      <c r="FX44" s="126"/>
      <c r="FY44" s="126"/>
      <c r="FZ44" s="126"/>
      <c r="GA44" s="126"/>
      <c r="GB44" s="126"/>
      <c r="GC44" s="126"/>
      <c r="GD44" s="126"/>
    </row>
    <row r="45" spans="2:186" s="118" customFormat="1" ht="13.5" customHeight="1" x14ac:dyDescent="0.2">
      <c r="B45" s="158" t="str">
        <f t="shared" ref="B45:B63" si="138">+B15</f>
        <v>McLOGHLIN, Mick</v>
      </c>
      <c r="C45" s="324"/>
      <c r="D45" s="324"/>
      <c r="E45" s="324"/>
      <c r="F45" s="258"/>
      <c r="G45" s="258"/>
      <c r="H45" s="258"/>
      <c r="I45" s="258"/>
      <c r="J45" s="258"/>
      <c r="K45" s="258"/>
      <c r="L45" s="258"/>
      <c r="M45" s="123"/>
      <c r="N45" s="258"/>
      <c r="O45" s="258"/>
      <c r="P45" s="258"/>
      <c r="Q45" s="330">
        <f t="shared" ref="Q45:Q66" si="139">S15-S45</f>
        <v>0</v>
      </c>
      <c r="R45" s="258"/>
      <c r="S45" s="330">
        <f t="shared" si="76"/>
        <v>48.2</v>
      </c>
      <c r="T45" s="258"/>
      <c r="U45" s="258"/>
      <c r="V45" s="258"/>
      <c r="W45" s="258"/>
      <c r="X45" s="122"/>
      <c r="Y45" s="258">
        <f t="shared" si="77"/>
        <v>0</v>
      </c>
      <c r="Z45" s="258"/>
      <c r="AA45" s="258">
        <f t="shared" ref="AA45:AA66" si="140">-AA15/5</f>
        <v>0</v>
      </c>
      <c r="AB45" s="258">
        <f t="shared" ref="AB45:AB66" si="141">AB15*20</f>
        <v>0</v>
      </c>
      <c r="AC45" s="258"/>
      <c r="AD45" s="258">
        <f t="shared" si="18"/>
        <v>0</v>
      </c>
      <c r="AE45" s="258"/>
      <c r="AF45" s="258">
        <f t="shared" si="100"/>
        <v>0</v>
      </c>
      <c r="AG45" s="258">
        <f t="shared" si="101"/>
        <v>0</v>
      </c>
      <c r="AH45" s="258"/>
      <c r="AI45" s="258">
        <f t="shared" si="21"/>
        <v>0</v>
      </c>
      <c r="AJ45" s="258"/>
      <c r="AK45" s="258">
        <f t="shared" si="100"/>
        <v>0</v>
      </c>
      <c r="AL45" s="258">
        <f t="shared" si="101"/>
        <v>0</v>
      </c>
      <c r="AM45" s="258"/>
      <c r="AN45" s="258">
        <f t="shared" si="24"/>
        <v>0</v>
      </c>
      <c r="AO45" s="258"/>
      <c r="AP45" s="258">
        <f t="shared" si="100"/>
        <v>0</v>
      </c>
      <c r="AQ45" s="258">
        <f t="shared" si="101"/>
        <v>0</v>
      </c>
      <c r="AR45" s="258"/>
      <c r="AS45" s="258">
        <f t="shared" si="27"/>
        <v>29.2</v>
      </c>
      <c r="AT45" s="258"/>
      <c r="AU45" s="258">
        <f t="shared" si="100"/>
        <v>-10.8</v>
      </c>
      <c r="AV45" s="258">
        <f t="shared" si="101"/>
        <v>40</v>
      </c>
      <c r="AW45" s="258"/>
      <c r="AX45" s="258">
        <f t="shared" si="30"/>
        <v>0</v>
      </c>
      <c r="AY45" s="258"/>
      <c r="AZ45" s="258">
        <f t="shared" si="100"/>
        <v>0</v>
      </c>
      <c r="BA45" s="258">
        <f t="shared" si="101"/>
        <v>0</v>
      </c>
      <c r="BB45" s="258"/>
      <c r="BC45" s="258">
        <f t="shared" si="33"/>
        <v>19</v>
      </c>
      <c r="BD45" s="258"/>
      <c r="BE45" s="258">
        <f t="shared" si="100"/>
        <v>-1</v>
      </c>
      <c r="BF45" s="258">
        <f t="shared" si="101"/>
        <v>20</v>
      </c>
      <c r="BG45" s="258"/>
      <c r="BH45" s="258">
        <f t="shared" si="36"/>
        <v>0</v>
      </c>
      <c r="BI45" s="258"/>
      <c r="BJ45" s="258">
        <f t="shared" si="100"/>
        <v>0</v>
      </c>
      <c r="BK45" s="258">
        <f t="shared" si="101"/>
        <v>0</v>
      </c>
      <c r="BL45" s="258"/>
      <c r="BM45" s="258">
        <f t="shared" si="39"/>
        <v>0</v>
      </c>
      <c r="BN45" s="258"/>
      <c r="BO45" s="258">
        <f t="shared" si="114"/>
        <v>0</v>
      </c>
      <c r="BP45" s="258">
        <f t="shared" si="115"/>
        <v>0</v>
      </c>
      <c r="BQ45" s="258"/>
      <c r="BR45" s="258">
        <f t="shared" si="42"/>
        <v>0</v>
      </c>
      <c r="BS45" s="258"/>
      <c r="BT45" s="258">
        <f t="shared" si="114"/>
        <v>0</v>
      </c>
      <c r="BU45" s="258">
        <f t="shared" si="115"/>
        <v>0</v>
      </c>
      <c r="BV45" s="258"/>
      <c r="BW45" s="258">
        <f t="shared" si="45"/>
        <v>0</v>
      </c>
      <c r="BX45" s="258"/>
      <c r="BY45" s="258">
        <f t="shared" si="114"/>
        <v>0</v>
      </c>
      <c r="BZ45" s="258">
        <f t="shared" si="115"/>
        <v>0</v>
      </c>
      <c r="CA45" s="258"/>
      <c r="CB45" s="258">
        <f t="shared" si="48"/>
        <v>0</v>
      </c>
      <c r="CC45" s="258"/>
      <c r="CD45" s="258">
        <f t="shared" si="114"/>
        <v>0</v>
      </c>
      <c r="CE45" s="258">
        <f t="shared" si="115"/>
        <v>0</v>
      </c>
      <c r="CF45" s="258"/>
      <c r="CG45" s="258">
        <f t="shared" si="51"/>
        <v>0</v>
      </c>
      <c r="CH45" s="258"/>
      <c r="CI45" s="258">
        <f t="shared" si="114"/>
        <v>0</v>
      </c>
      <c r="CJ45" s="258">
        <f t="shared" si="115"/>
        <v>0</v>
      </c>
      <c r="CK45" s="258"/>
      <c r="CL45" s="258">
        <f t="shared" si="54"/>
        <v>0</v>
      </c>
      <c r="CM45" s="258"/>
      <c r="CN45" s="258">
        <f t="shared" si="114"/>
        <v>0</v>
      </c>
      <c r="CO45" s="258">
        <f t="shared" si="115"/>
        <v>0</v>
      </c>
      <c r="CP45" s="258"/>
      <c r="CQ45" s="258">
        <f t="shared" si="57"/>
        <v>0</v>
      </c>
      <c r="CR45" s="258"/>
      <c r="CS45" s="258">
        <f t="shared" si="114"/>
        <v>0</v>
      </c>
      <c r="CT45" s="258">
        <f t="shared" si="115"/>
        <v>0</v>
      </c>
      <c r="CU45" s="258"/>
      <c r="CV45" s="258">
        <f t="shared" si="60"/>
        <v>0</v>
      </c>
      <c r="CW45" s="258"/>
      <c r="CX45" s="258">
        <f t="shared" si="128"/>
        <v>0</v>
      </c>
      <c r="CY45" s="258">
        <f t="shared" si="129"/>
        <v>0</v>
      </c>
      <c r="CZ45" s="258"/>
      <c r="DA45" s="258">
        <f t="shared" si="63"/>
        <v>0</v>
      </c>
      <c r="DB45" s="258"/>
      <c r="DC45" s="258">
        <f t="shared" si="128"/>
        <v>0</v>
      </c>
      <c r="DD45" s="258">
        <f t="shared" si="129"/>
        <v>0</v>
      </c>
      <c r="DE45" s="258"/>
      <c r="DF45" s="258">
        <f t="shared" si="66"/>
        <v>0</v>
      </c>
      <c r="DG45" s="258"/>
      <c r="DH45" s="258">
        <f t="shared" si="128"/>
        <v>0</v>
      </c>
      <c r="DI45" s="258">
        <f t="shared" si="129"/>
        <v>0</v>
      </c>
      <c r="DJ45" s="258"/>
      <c r="DK45" s="258">
        <f t="shared" si="69"/>
        <v>0</v>
      </c>
      <c r="DL45" s="258"/>
      <c r="DM45" s="258">
        <f t="shared" si="128"/>
        <v>0</v>
      </c>
      <c r="DN45" s="258">
        <f t="shared" si="129"/>
        <v>0</v>
      </c>
      <c r="DO45" s="258"/>
      <c r="DP45" s="258">
        <f t="shared" si="72"/>
        <v>0</v>
      </c>
      <c r="DQ45" s="258"/>
      <c r="DR45" s="258">
        <f t="shared" si="128"/>
        <v>0</v>
      </c>
      <c r="DS45" s="258">
        <f t="shared" si="129"/>
        <v>0</v>
      </c>
      <c r="DT45" s="258"/>
      <c r="DU45" s="258"/>
      <c r="DV45" s="258"/>
      <c r="DW45" s="258"/>
      <c r="DX45" s="258"/>
      <c r="DY45" s="258"/>
      <c r="DZ45" s="258"/>
      <c r="EA45" s="258"/>
      <c r="EB45" s="258"/>
      <c r="EC45" s="258"/>
      <c r="FB45" s="258"/>
      <c r="FC45" s="258"/>
      <c r="FD45" s="258"/>
      <c r="FE45" s="258"/>
      <c r="FF45" s="258"/>
      <c r="FG45" s="258"/>
      <c r="FH45" s="258"/>
      <c r="FI45" s="258"/>
      <c r="FK45" s="258"/>
      <c r="FM45" s="310"/>
      <c r="FN45" s="310"/>
      <c r="FO45" s="310"/>
      <c r="FP45" s="310"/>
      <c r="FQ45" s="310"/>
      <c r="FR45" s="310"/>
      <c r="FS45" s="310"/>
      <c r="FT45" s="310"/>
      <c r="FU45" s="126"/>
      <c r="FV45" s="126"/>
      <c r="FW45" s="126"/>
      <c r="FX45" s="126"/>
      <c r="FY45" s="126"/>
      <c r="FZ45" s="126"/>
      <c r="GA45" s="126"/>
      <c r="GB45" s="126"/>
      <c r="GC45" s="126"/>
      <c r="GD45" s="126"/>
    </row>
    <row r="46" spans="2:186" s="118" customFormat="1" ht="13.5" customHeight="1" x14ac:dyDescent="0.2">
      <c r="B46" s="158" t="str">
        <f t="shared" si="138"/>
        <v>TAMBLING, Damian</v>
      </c>
      <c r="C46" s="324"/>
      <c r="D46" s="324"/>
      <c r="E46" s="324"/>
      <c r="F46" s="258"/>
      <c r="G46" s="258"/>
      <c r="H46" s="258"/>
      <c r="I46" s="258"/>
      <c r="J46" s="258"/>
      <c r="K46" s="258"/>
      <c r="L46" s="258"/>
      <c r="M46" s="123"/>
      <c r="N46" s="258"/>
      <c r="O46" s="258"/>
      <c r="P46" s="258"/>
      <c r="Q46" s="330">
        <f t="shared" si="139"/>
        <v>0</v>
      </c>
      <c r="R46" s="258"/>
      <c r="S46" s="330">
        <f t="shared" si="76"/>
        <v>22.4</v>
      </c>
      <c r="T46" s="258"/>
      <c r="U46" s="258"/>
      <c r="V46" s="258"/>
      <c r="W46" s="258"/>
      <c r="X46" s="122"/>
      <c r="Y46" s="258">
        <f t="shared" si="77"/>
        <v>0</v>
      </c>
      <c r="Z46" s="258"/>
      <c r="AA46" s="258">
        <f t="shared" si="140"/>
        <v>0</v>
      </c>
      <c r="AB46" s="258">
        <f t="shared" si="141"/>
        <v>0</v>
      </c>
      <c r="AC46" s="258"/>
      <c r="AD46" s="258">
        <f t="shared" si="18"/>
        <v>0</v>
      </c>
      <c r="AE46" s="258"/>
      <c r="AF46" s="258">
        <f t="shared" si="100"/>
        <v>0</v>
      </c>
      <c r="AG46" s="258">
        <f t="shared" si="101"/>
        <v>0</v>
      </c>
      <c r="AH46" s="258"/>
      <c r="AI46" s="258">
        <f t="shared" si="21"/>
        <v>0</v>
      </c>
      <c r="AJ46" s="258"/>
      <c r="AK46" s="258">
        <f t="shared" si="100"/>
        <v>0</v>
      </c>
      <c r="AL46" s="258">
        <f t="shared" si="101"/>
        <v>0</v>
      </c>
      <c r="AM46" s="258"/>
      <c r="AN46" s="258">
        <f t="shared" si="24"/>
        <v>0</v>
      </c>
      <c r="AO46" s="258"/>
      <c r="AP46" s="258">
        <f t="shared" si="100"/>
        <v>0</v>
      </c>
      <c r="AQ46" s="258">
        <f t="shared" si="101"/>
        <v>0</v>
      </c>
      <c r="AR46" s="258"/>
      <c r="AS46" s="258">
        <f t="shared" si="27"/>
        <v>-11</v>
      </c>
      <c r="AT46" s="258"/>
      <c r="AU46" s="258">
        <f t="shared" si="100"/>
        <v>-11</v>
      </c>
      <c r="AV46" s="258">
        <f t="shared" si="101"/>
        <v>0</v>
      </c>
      <c r="AW46" s="258"/>
      <c r="AX46" s="258">
        <f t="shared" si="30"/>
        <v>0</v>
      </c>
      <c r="AY46" s="258"/>
      <c r="AZ46" s="258">
        <f t="shared" si="100"/>
        <v>0</v>
      </c>
      <c r="BA46" s="258">
        <f t="shared" si="101"/>
        <v>0</v>
      </c>
      <c r="BB46" s="258"/>
      <c r="BC46" s="258">
        <f t="shared" si="33"/>
        <v>0</v>
      </c>
      <c r="BD46" s="258"/>
      <c r="BE46" s="258">
        <f t="shared" si="100"/>
        <v>0</v>
      </c>
      <c r="BF46" s="258">
        <f t="shared" si="101"/>
        <v>0</v>
      </c>
      <c r="BG46" s="258"/>
      <c r="BH46" s="258">
        <f t="shared" si="36"/>
        <v>0</v>
      </c>
      <c r="BI46" s="258"/>
      <c r="BJ46" s="258">
        <f t="shared" si="100"/>
        <v>0</v>
      </c>
      <c r="BK46" s="258">
        <f t="shared" si="101"/>
        <v>0</v>
      </c>
      <c r="BL46" s="258"/>
      <c r="BM46" s="258">
        <f t="shared" si="39"/>
        <v>0</v>
      </c>
      <c r="BN46" s="258"/>
      <c r="BO46" s="258">
        <f t="shared" si="114"/>
        <v>0</v>
      </c>
      <c r="BP46" s="258">
        <f t="shared" si="115"/>
        <v>0</v>
      </c>
      <c r="BQ46" s="258"/>
      <c r="BR46" s="258">
        <f t="shared" si="42"/>
        <v>33.4</v>
      </c>
      <c r="BS46" s="258"/>
      <c r="BT46" s="258">
        <f t="shared" si="114"/>
        <v>-6.6</v>
      </c>
      <c r="BU46" s="258">
        <f t="shared" si="115"/>
        <v>40</v>
      </c>
      <c r="BV46" s="258"/>
      <c r="BW46" s="258">
        <f t="shared" si="45"/>
        <v>0</v>
      </c>
      <c r="BX46" s="258"/>
      <c r="BY46" s="258">
        <f t="shared" si="114"/>
        <v>0</v>
      </c>
      <c r="BZ46" s="258">
        <f t="shared" si="115"/>
        <v>0</v>
      </c>
      <c r="CA46" s="258"/>
      <c r="CB46" s="258">
        <f t="shared" si="48"/>
        <v>0</v>
      </c>
      <c r="CC46" s="258"/>
      <c r="CD46" s="258">
        <f t="shared" si="114"/>
        <v>0</v>
      </c>
      <c r="CE46" s="258">
        <f t="shared" si="115"/>
        <v>0</v>
      </c>
      <c r="CF46" s="258"/>
      <c r="CG46" s="258">
        <f t="shared" si="51"/>
        <v>0</v>
      </c>
      <c r="CH46" s="258"/>
      <c r="CI46" s="258">
        <f t="shared" si="114"/>
        <v>0</v>
      </c>
      <c r="CJ46" s="258">
        <f t="shared" si="115"/>
        <v>0</v>
      </c>
      <c r="CK46" s="258"/>
      <c r="CL46" s="258">
        <f t="shared" si="54"/>
        <v>0</v>
      </c>
      <c r="CM46" s="258"/>
      <c r="CN46" s="258">
        <f t="shared" si="114"/>
        <v>0</v>
      </c>
      <c r="CO46" s="258">
        <f t="shared" si="115"/>
        <v>0</v>
      </c>
      <c r="CP46" s="258"/>
      <c r="CQ46" s="258">
        <f t="shared" si="57"/>
        <v>0</v>
      </c>
      <c r="CR46" s="258"/>
      <c r="CS46" s="258">
        <f t="shared" si="114"/>
        <v>0</v>
      </c>
      <c r="CT46" s="258">
        <f t="shared" si="115"/>
        <v>0</v>
      </c>
      <c r="CU46" s="258"/>
      <c r="CV46" s="258">
        <f t="shared" si="60"/>
        <v>0</v>
      </c>
      <c r="CW46" s="258"/>
      <c r="CX46" s="258">
        <f t="shared" si="128"/>
        <v>0</v>
      </c>
      <c r="CY46" s="258">
        <f t="shared" si="129"/>
        <v>0</v>
      </c>
      <c r="CZ46" s="258"/>
      <c r="DA46" s="258">
        <f t="shared" si="63"/>
        <v>0</v>
      </c>
      <c r="DB46" s="258"/>
      <c r="DC46" s="258">
        <f t="shared" si="128"/>
        <v>0</v>
      </c>
      <c r="DD46" s="258">
        <f t="shared" si="129"/>
        <v>0</v>
      </c>
      <c r="DE46" s="258"/>
      <c r="DF46" s="258">
        <f t="shared" si="66"/>
        <v>0</v>
      </c>
      <c r="DG46" s="258"/>
      <c r="DH46" s="258">
        <f t="shared" si="128"/>
        <v>0</v>
      </c>
      <c r="DI46" s="258">
        <f t="shared" si="129"/>
        <v>0</v>
      </c>
      <c r="DJ46" s="258"/>
      <c r="DK46" s="258">
        <f t="shared" si="69"/>
        <v>0</v>
      </c>
      <c r="DL46" s="258"/>
      <c r="DM46" s="258">
        <f t="shared" si="128"/>
        <v>0</v>
      </c>
      <c r="DN46" s="258">
        <f t="shared" si="129"/>
        <v>0</v>
      </c>
      <c r="DO46" s="258"/>
      <c r="DP46" s="258">
        <f t="shared" si="72"/>
        <v>0</v>
      </c>
      <c r="DQ46" s="258"/>
      <c r="DR46" s="258">
        <f t="shared" si="128"/>
        <v>0</v>
      </c>
      <c r="DS46" s="258">
        <f t="shared" si="129"/>
        <v>0</v>
      </c>
      <c r="DT46" s="258"/>
      <c r="DU46" s="258"/>
      <c r="DV46" s="258"/>
      <c r="DW46" s="258"/>
      <c r="DX46" s="258"/>
      <c r="DY46" s="258"/>
      <c r="DZ46" s="258"/>
      <c r="EA46" s="258"/>
      <c r="EB46" s="258"/>
      <c r="EC46" s="258"/>
      <c r="FB46" s="258"/>
      <c r="FC46" s="258"/>
      <c r="FD46" s="258"/>
      <c r="FE46" s="258"/>
      <c r="FF46" s="258"/>
      <c r="FG46" s="258"/>
      <c r="FH46" s="258"/>
      <c r="FI46" s="258"/>
      <c r="FK46" s="258"/>
      <c r="FM46" s="310"/>
      <c r="FN46" s="310"/>
      <c r="FO46" s="310"/>
      <c r="FP46" s="310"/>
      <c r="FQ46" s="310"/>
      <c r="FR46" s="310"/>
      <c r="FS46" s="310"/>
      <c r="FT46" s="310"/>
      <c r="FU46" s="126"/>
      <c r="FV46" s="126"/>
      <c r="FW46" s="126"/>
      <c r="FX46" s="126"/>
      <c r="FY46" s="126"/>
      <c r="FZ46" s="126"/>
      <c r="GA46" s="126"/>
      <c r="GB46" s="126"/>
      <c r="GC46" s="126"/>
      <c r="GD46" s="126"/>
    </row>
    <row r="47" spans="2:186" s="118" customFormat="1" ht="13.5" customHeight="1" x14ac:dyDescent="0.2">
      <c r="B47" s="158" t="str">
        <f t="shared" si="138"/>
        <v>THACKER, Nilesh</v>
      </c>
      <c r="C47" s="324"/>
      <c r="D47" s="324"/>
      <c r="E47" s="324"/>
      <c r="F47" s="258"/>
      <c r="G47" s="258"/>
      <c r="H47" s="258"/>
      <c r="I47" s="258"/>
      <c r="J47" s="258"/>
      <c r="K47" s="258"/>
      <c r="L47" s="258"/>
      <c r="M47" s="123"/>
      <c r="N47" s="258"/>
      <c r="O47" s="258"/>
      <c r="P47" s="258"/>
      <c r="Q47" s="330">
        <f t="shared" si="139"/>
        <v>0</v>
      </c>
      <c r="R47" s="258"/>
      <c r="S47" s="330">
        <f t="shared" si="76"/>
        <v>48.2</v>
      </c>
      <c r="T47" s="258"/>
      <c r="U47" s="258"/>
      <c r="V47" s="258"/>
      <c r="W47" s="258"/>
      <c r="X47" s="122"/>
      <c r="Y47" s="258">
        <f t="shared" si="77"/>
        <v>0</v>
      </c>
      <c r="Z47" s="258"/>
      <c r="AA47" s="258">
        <f t="shared" si="140"/>
        <v>0</v>
      </c>
      <c r="AB47" s="258">
        <f t="shared" si="141"/>
        <v>0</v>
      </c>
      <c r="AC47" s="258"/>
      <c r="AD47" s="258">
        <f t="shared" si="18"/>
        <v>0</v>
      </c>
      <c r="AE47" s="258"/>
      <c r="AF47" s="258">
        <f t="shared" si="100"/>
        <v>0</v>
      </c>
      <c r="AG47" s="258">
        <f t="shared" si="101"/>
        <v>0</v>
      </c>
      <c r="AH47" s="258"/>
      <c r="AI47" s="258">
        <f t="shared" si="21"/>
        <v>34.6</v>
      </c>
      <c r="AJ47" s="258"/>
      <c r="AK47" s="258">
        <f t="shared" si="100"/>
        <v>-5.4</v>
      </c>
      <c r="AL47" s="258">
        <f t="shared" si="101"/>
        <v>40</v>
      </c>
      <c r="AM47" s="258"/>
      <c r="AN47" s="258">
        <f t="shared" si="24"/>
        <v>13.6</v>
      </c>
      <c r="AO47" s="258"/>
      <c r="AP47" s="258">
        <f t="shared" si="100"/>
        <v>-6.4</v>
      </c>
      <c r="AQ47" s="258">
        <f t="shared" si="101"/>
        <v>20</v>
      </c>
      <c r="AR47" s="258"/>
      <c r="AS47" s="258">
        <f t="shared" si="27"/>
        <v>0</v>
      </c>
      <c r="AT47" s="258"/>
      <c r="AU47" s="258">
        <f t="shared" si="100"/>
        <v>0</v>
      </c>
      <c r="AV47" s="258">
        <f t="shared" si="101"/>
        <v>0</v>
      </c>
      <c r="AW47" s="258"/>
      <c r="AX47" s="258">
        <f t="shared" si="30"/>
        <v>0</v>
      </c>
      <c r="AY47" s="258"/>
      <c r="AZ47" s="258">
        <f t="shared" si="100"/>
        <v>0</v>
      </c>
      <c r="BA47" s="258">
        <f t="shared" si="101"/>
        <v>0</v>
      </c>
      <c r="BB47" s="258"/>
      <c r="BC47" s="258">
        <f t="shared" si="33"/>
        <v>0</v>
      </c>
      <c r="BD47" s="258"/>
      <c r="BE47" s="258">
        <f t="shared" si="100"/>
        <v>0</v>
      </c>
      <c r="BF47" s="258">
        <f t="shared" si="101"/>
        <v>0</v>
      </c>
      <c r="BG47" s="258"/>
      <c r="BH47" s="258">
        <f t="shared" si="36"/>
        <v>0</v>
      </c>
      <c r="BI47" s="258"/>
      <c r="BJ47" s="258">
        <f t="shared" si="100"/>
        <v>0</v>
      </c>
      <c r="BK47" s="258">
        <f t="shared" si="101"/>
        <v>0</v>
      </c>
      <c r="BL47" s="258"/>
      <c r="BM47" s="258">
        <f t="shared" si="39"/>
        <v>0</v>
      </c>
      <c r="BN47" s="258"/>
      <c r="BO47" s="258">
        <f t="shared" si="114"/>
        <v>0</v>
      </c>
      <c r="BP47" s="258">
        <f t="shared" si="115"/>
        <v>0</v>
      </c>
      <c r="BQ47" s="258"/>
      <c r="BR47" s="258">
        <f t="shared" si="42"/>
        <v>0</v>
      </c>
      <c r="BS47" s="258"/>
      <c r="BT47" s="258">
        <f t="shared" si="114"/>
        <v>0</v>
      </c>
      <c r="BU47" s="258">
        <f t="shared" si="115"/>
        <v>0</v>
      </c>
      <c r="BV47" s="258"/>
      <c r="BW47" s="258">
        <f t="shared" si="45"/>
        <v>0</v>
      </c>
      <c r="BX47" s="258"/>
      <c r="BY47" s="258">
        <f t="shared" si="114"/>
        <v>0</v>
      </c>
      <c r="BZ47" s="258">
        <f t="shared" si="115"/>
        <v>0</v>
      </c>
      <c r="CA47" s="258"/>
      <c r="CB47" s="258">
        <f t="shared" si="48"/>
        <v>0</v>
      </c>
      <c r="CC47" s="258"/>
      <c r="CD47" s="258">
        <f t="shared" si="114"/>
        <v>0</v>
      </c>
      <c r="CE47" s="258">
        <f t="shared" si="115"/>
        <v>0</v>
      </c>
      <c r="CF47" s="258"/>
      <c r="CG47" s="258">
        <f t="shared" si="51"/>
        <v>0</v>
      </c>
      <c r="CH47" s="258"/>
      <c r="CI47" s="258">
        <f t="shared" si="114"/>
        <v>0</v>
      </c>
      <c r="CJ47" s="258">
        <f t="shared" si="115"/>
        <v>0</v>
      </c>
      <c r="CK47" s="258"/>
      <c r="CL47" s="258">
        <f t="shared" si="54"/>
        <v>0</v>
      </c>
      <c r="CM47" s="258"/>
      <c r="CN47" s="258">
        <f t="shared" si="114"/>
        <v>0</v>
      </c>
      <c r="CO47" s="258">
        <f t="shared" si="115"/>
        <v>0</v>
      </c>
      <c r="CP47" s="258"/>
      <c r="CQ47" s="258">
        <f t="shared" si="57"/>
        <v>0</v>
      </c>
      <c r="CR47" s="258"/>
      <c r="CS47" s="258">
        <f t="shared" si="114"/>
        <v>0</v>
      </c>
      <c r="CT47" s="258">
        <f t="shared" si="115"/>
        <v>0</v>
      </c>
      <c r="CU47" s="258"/>
      <c r="CV47" s="258">
        <f t="shared" si="60"/>
        <v>0</v>
      </c>
      <c r="CW47" s="258"/>
      <c r="CX47" s="258">
        <f t="shared" si="128"/>
        <v>0</v>
      </c>
      <c r="CY47" s="258">
        <f t="shared" si="129"/>
        <v>0</v>
      </c>
      <c r="CZ47" s="258"/>
      <c r="DA47" s="258">
        <f t="shared" si="63"/>
        <v>0</v>
      </c>
      <c r="DB47" s="258"/>
      <c r="DC47" s="258">
        <f t="shared" si="128"/>
        <v>0</v>
      </c>
      <c r="DD47" s="258">
        <f t="shared" si="129"/>
        <v>0</v>
      </c>
      <c r="DE47" s="258"/>
      <c r="DF47" s="258">
        <f t="shared" si="66"/>
        <v>0</v>
      </c>
      <c r="DG47" s="258"/>
      <c r="DH47" s="258">
        <f t="shared" si="128"/>
        <v>0</v>
      </c>
      <c r="DI47" s="258">
        <f t="shared" si="129"/>
        <v>0</v>
      </c>
      <c r="DJ47" s="258"/>
      <c r="DK47" s="258">
        <f t="shared" si="69"/>
        <v>0</v>
      </c>
      <c r="DL47" s="258"/>
      <c r="DM47" s="258">
        <f t="shared" si="128"/>
        <v>0</v>
      </c>
      <c r="DN47" s="258">
        <f t="shared" si="129"/>
        <v>0</v>
      </c>
      <c r="DO47" s="258"/>
      <c r="DP47" s="258">
        <f t="shared" si="72"/>
        <v>0</v>
      </c>
      <c r="DQ47" s="258"/>
      <c r="DR47" s="258">
        <f t="shared" si="128"/>
        <v>0</v>
      </c>
      <c r="DS47" s="258">
        <f t="shared" si="129"/>
        <v>0</v>
      </c>
      <c r="DT47" s="258"/>
      <c r="DU47" s="258"/>
      <c r="DV47" s="258"/>
      <c r="DW47" s="258"/>
      <c r="DX47" s="258"/>
      <c r="DY47" s="258"/>
      <c r="DZ47" s="258"/>
      <c r="EA47" s="258"/>
      <c r="EB47" s="258"/>
      <c r="EC47" s="258"/>
      <c r="FB47" s="258"/>
      <c r="FC47" s="258"/>
      <c r="FD47" s="258"/>
      <c r="FE47" s="258"/>
      <c r="FF47" s="258"/>
      <c r="FG47" s="258"/>
      <c r="FH47" s="258"/>
      <c r="FI47" s="258"/>
      <c r="FK47" s="258"/>
      <c r="FM47" s="310"/>
      <c r="FN47" s="310"/>
      <c r="FO47" s="310"/>
      <c r="FP47" s="310"/>
      <c r="FQ47" s="310"/>
      <c r="FR47" s="310"/>
      <c r="FS47" s="310"/>
      <c r="FT47" s="310"/>
      <c r="FU47" s="126"/>
      <c r="FV47" s="126"/>
      <c r="FW47" s="126"/>
      <c r="FX47" s="126"/>
      <c r="FY47" s="126"/>
      <c r="FZ47" s="126"/>
      <c r="GA47" s="126"/>
      <c r="GB47" s="126"/>
      <c r="GC47" s="126"/>
      <c r="GD47" s="126"/>
    </row>
    <row r="48" spans="2:186" s="118" customFormat="1" ht="13.5" customHeight="1" x14ac:dyDescent="0.2">
      <c r="B48" s="158" t="str">
        <f t="shared" si="138"/>
        <v>RONALDSON, Jamie</v>
      </c>
      <c r="C48" s="324"/>
      <c r="D48" s="324"/>
      <c r="E48" s="324"/>
      <c r="F48" s="258"/>
      <c r="G48" s="258"/>
      <c r="H48" s="258"/>
      <c r="I48" s="258"/>
      <c r="J48" s="258"/>
      <c r="K48" s="258"/>
      <c r="L48" s="258"/>
      <c r="M48" s="123"/>
      <c r="N48" s="258"/>
      <c r="O48" s="258"/>
      <c r="P48" s="258"/>
      <c r="Q48" s="330">
        <f t="shared" si="139"/>
        <v>0</v>
      </c>
      <c r="R48" s="258"/>
      <c r="S48" s="330">
        <f t="shared" si="76"/>
        <v>44.4</v>
      </c>
      <c r="T48" s="258"/>
      <c r="U48" s="258"/>
      <c r="V48" s="258"/>
      <c r="W48" s="258"/>
      <c r="X48" s="122"/>
      <c r="Y48" s="258">
        <f t="shared" si="77"/>
        <v>0</v>
      </c>
      <c r="Z48" s="258"/>
      <c r="AA48" s="258">
        <f t="shared" si="140"/>
        <v>0</v>
      </c>
      <c r="AB48" s="258">
        <f t="shared" si="141"/>
        <v>0</v>
      </c>
      <c r="AC48" s="258"/>
      <c r="AD48" s="258">
        <f t="shared" si="18"/>
        <v>0</v>
      </c>
      <c r="AE48" s="258"/>
      <c r="AF48" s="258">
        <f t="shared" si="100"/>
        <v>0</v>
      </c>
      <c r="AG48" s="258">
        <f t="shared" si="101"/>
        <v>0</v>
      </c>
      <c r="AH48" s="258"/>
      <c r="AI48" s="258">
        <f t="shared" si="21"/>
        <v>0</v>
      </c>
      <c r="AJ48" s="258"/>
      <c r="AK48" s="258">
        <f t="shared" si="100"/>
        <v>0</v>
      </c>
      <c r="AL48" s="258">
        <f t="shared" si="101"/>
        <v>0</v>
      </c>
      <c r="AM48" s="258"/>
      <c r="AN48" s="258">
        <f t="shared" si="24"/>
        <v>0</v>
      </c>
      <c r="AO48" s="258"/>
      <c r="AP48" s="258">
        <f t="shared" si="100"/>
        <v>0</v>
      </c>
      <c r="AQ48" s="258">
        <f t="shared" si="101"/>
        <v>0</v>
      </c>
      <c r="AR48" s="258"/>
      <c r="AS48" s="258">
        <f t="shared" si="27"/>
        <v>0</v>
      </c>
      <c r="AT48" s="258"/>
      <c r="AU48" s="258">
        <f t="shared" si="100"/>
        <v>0</v>
      </c>
      <c r="AV48" s="258">
        <f t="shared" si="101"/>
        <v>0</v>
      </c>
      <c r="AW48" s="258"/>
      <c r="AX48" s="258">
        <f t="shared" si="30"/>
        <v>0</v>
      </c>
      <c r="AY48" s="258"/>
      <c r="AZ48" s="258">
        <f t="shared" si="100"/>
        <v>0</v>
      </c>
      <c r="BA48" s="258">
        <f t="shared" si="101"/>
        <v>0</v>
      </c>
      <c r="BB48" s="258"/>
      <c r="BC48" s="258">
        <f t="shared" si="33"/>
        <v>0</v>
      </c>
      <c r="BD48" s="258"/>
      <c r="BE48" s="258">
        <f t="shared" si="100"/>
        <v>0</v>
      </c>
      <c r="BF48" s="258">
        <f t="shared" si="101"/>
        <v>0</v>
      </c>
      <c r="BG48" s="258"/>
      <c r="BH48" s="258">
        <f t="shared" si="36"/>
        <v>0</v>
      </c>
      <c r="BI48" s="258"/>
      <c r="BJ48" s="258">
        <f t="shared" si="100"/>
        <v>0</v>
      </c>
      <c r="BK48" s="258">
        <f t="shared" si="101"/>
        <v>0</v>
      </c>
      <c r="BL48" s="258"/>
      <c r="BM48" s="258">
        <f t="shared" si="39"/>
        <v>0</v>
      </c>
      <c r="BN48" s="258"/>
      <c r="BO48" s="258">
        <f t="shared" si="114"/>
        <v>0</v>
      </c>
      <c r="BP48" s="258">
        <f t="shared" si="115"/>
        <v>0</v>
      </c>
      <c r="BQ48" s="258"/>
      <c r="BR48" s="258">
        <f t="shared" si="42"/>
        <v>0</v>
      </c>
      <c r="BS48" s="258"/>
      <c r="BT48" s="258">
        <f t="shared" si="114"/>
        <v>0</v>
      </c>
      <c r="BU48" s="258">
        <f t="shared" si="115"/>
        <v>0</v>
      </c>
      <c r="BV48" s="258"/>
      <c r="BW48" s="258">
        <f t="shared" si="45"/>
        <v>0</v>
      </c>
      <c r="BX48" s="258"/>
      <c r="BY48" s="258">
        <f t="shared" si="114"/>
        <v>0</v>
      </c>
      <c r="BZ48" s="258">
        <f t="shared" si="115"/>
        <v>0</v>
      </c>
      <c r="CA48" s="258"/>
      <c r="CB48" s="258">
        <f t="shared" si="48"/>
        <v>31.2</v>
      </c>
      <c r="CC48" s="258"/>
      <c r="CD48" s="258">
        <f t="shared" si="114"/>
        <v>-8.8000000000000007</v>
      </c>
      <c r="CE48" s="258">
        <f t="shared" si="115"/>
        <v>40</v>
      </c>
      <c r="CF48" s="258"/>
      <c r="CG48" s="258">
        <f t="shared" si="51"/>
        <v>0</v>
      </c>
      <c r="CH48" s="258"/>
      <c r="CI48" s="258">
        <f t="shared" si="114"/>
        <v>0</v>
      </c>
      <c r="CJ48" s="258">
        <f t="shared" si="115"/>
        <v>0</v>
      </c>
      <c r="CK48" s="258"/>
      <c r="CL48" s="258">
        <f t="shared" si="54"/>
        <v>13.2</v>
      </c>
      <c r="CM48" s="258"/>
      <c r="CN48" s="258">
        <f t="shared" si="114"/>
        <v>-6.8</v>
      </c>
      <c r="CO48" s="258">
        <f t="shared" si="115"/>
        <v>20</v>
      </c>
      <c r="CP48" s="258"/>
      <c r="CQ48" s="258">
        <f t="shared" si="57"/>
        <v>0</v>
      </c>
      <c r="CR48" s="258"/>
      <c r="CS48" s="258">
        <f t="shared" si="114"/>
        <v>0</v>
      </c>
      <c r="CT48" s="258">
        <f t="shared" si="115"/>
        <v>0</v>
      </c>
      <c r="CU48" s="258"/>
      <c r="CV48" s="258">
        <f t="shared" si="60"/>
        <v>0</v>
      </c>
      <c r="CW48" s="258"/>
      <c r="CX48" s="258">
        <f t="shared" si="128"/>
        <v>0</v>
      </c>
      <c r="CY48" s="258">
        <f t="shared" si="129"/>
        <v>0</v>
      </c>
      <c r="CZ48" s="258"/>
      <c r="DA48" s="258">
        <f t="shared" si="63"/>
        <v>0</v>
      </c>
      <c r="DB48" s="258"/>
      <c r="DC48" s="258">
        <f t="shared" si="128"/>
        <v>0</v>
      </c>
      <c r="DD48" s="258">
        <f t="shared" si="129"/>
        <v>0</v>
      </c>
      <c r="DE48" s="258"/>
      <c r="DF48" s="258">
        <f t="shared" si="66"/>
        <v>0</v>
      </c>
      <c r="DG48" s="258"/>
      <c r="DH48" s="258">
        <f t="shared" si="128"/>
        <v>0</v>
      </c>
      <c r="DI48" s="258">
        <f t="shared" si="129"/>
        <v>0</v>
      </c>
      <c r="DJ48" s="258"/>
      <c r="DK48" s="258">
        <f t="shared" si="69"/>
        <v>0</v>
      </c>
      <c r="DL48" s="258"/>
      <c r="DM48" s="258">
        <f t="shared" si="128"/>
        <v>0</v>
      </c>
      <c r="DN48" s="258">
        <f t="shared" si="129"/>
        <v>0</v>
      </c>
      <c r="DO48" s="258"/>
      <c r="DP48" s="258">
        <f t="shared" si="72"/>
        <v>0</v>
      </c>
      <c r="DQ48" s="258"/>
      <c r="DR48" s="258">
        <f t="shared" si="128"/>
        <v>0</v>
      </c>
      <c r="DS48" s="258">
        <f t="shared" si="129"/>
        <v>0</v>
      </c>
      <c r="DT48" s="258"/>
      <c r="DU48" s="258"/>
      <c r="DV48" s="258"/>
      <c r="DW48" s="258"/>
      <c r="DX48" s="258"/>
      <c r="DY48" s="258"/>
      <c r="DZ48" s="258"/>
      <c r="EA48" s="258"/>
      <c r="EB48" s="258"/>
      <c r="EC48" s="258"/>
      <c r="FB48" s="258"/>
      <c r="FC48" s="258"/>
      <c r="FD48" s="258"/>
      <c r="FE48" s="258"/>
      <c r="FF48" s="258"/>
      <c r="FG48" s="258"/>
      <c r="FH48" s="258"/>
      <c r="FI48" s="258"/>
      <c r="FK48" s="258"/>
      <c r="FM48" s="310"/>
      <c r="FN48" s="310"/>
      <c r="FO48" s="310"/>
      <c r="FP48" s="310"/>
      <c r="FQ48" s="310"/>
      <c r="FR48" s="310"/>
      <c r="FS48" s="310"/>
      <c r="FT48" s="310"/>
      <c r="FU48" s="126"/>
      <c r="FV48" s="126"/>
      <c r="FW48" s="126"/>
      <c r="FX48" s="126"/>
      <c r="FY48" s="126"/>
      <c r="FZ48" s="126"/>
      <c r="GA48" s="126"/>
      <c r="GB48" s="126"/>
      <c r="GC48" s="126"/>
      <c r="GD48" s="126"/>
    </row>
    <row r="49" spans="2:186" s="118" customFormat="1" ht="13.5" customHeight="1" x14ac:dyDescent="0.2">
      <c r="B49" s="158" t="str">
        <f t="shared" si="138"/>
        <v>KANTH, Kiso</v>
      </c>
      <c r="C49" s="324"/>
      <c r="D49" s="324"/>
      <c r="E49" s="324"/>
      <c r="F49" s="258"/>
      <c r="G49" s="258"/>
      <c r="H49" s="258"/>
      <c r="I49" s="258"/>
      <c r="J49" s="258"/>
      <c r="K49" s="258"/>
      <c r="L49" s="258"/>
      <c r="M49" s="123"/>
      <c r="N49" s="258"/>
      <c r="O49" s="258"/>
      <c r="P49" s="258"/>
      <c r="Q49" s="330">
        <f t="shared" si="139"/>
        <v>0</v>
      </c>
      <c r="R49" s="258"/>
      <c r="S49" s="330">
        <f t="shared" si="76"/>
        <v>5.4</v>
      </c>
      <c r="T49" s="258"/>
      <c r="U49" s="258"/>
      <c r="V49" s="258"/>
      <c r="W49" s="258"/>
      <c r="X49" s="122"/>
      <c r="Y49" s="258">
        <f t="shared" si="77"/>
        <v>0</v>
      </c>
      <c r="Z49" s="258"/>
      <c r="AA49" s="258">
        <f t="shared" si="140"/>
        <v>0</v>
      </c>
      <c r="AB49" s="258">
        <f t="shared" si="141"/>
        <v>0</v>
      </c>
      <c r="AC49" s="258"/>
      <c r="AD49" s="258">
        <f t="shared" si="18"/>
        <v>0</v>
      </c>
      <c r="AE49" s="258"/>
      <c r="AF49" s="258">
        <f t="shared" si="100"/>
        <v>0</v>
      </c>
      <c r="AG49" s="258">
        <f t="shared" si="101"/>
        <v>0</v>
      </c>
      <c r="AH49" s="258"/>
      <c r="AI49" s="258">
        <f t="shared" si="21"/>
        <v>0</v>
      </c>
      <c r="AJ49" s="258"/>
      <c r="AK49" s="258">
        <f t="shared" si="100"/>
        <v>0</v>
      </c>
      <c r="AL49" s="258">
        <f t="shared" si="101"/>
        <v>0</v>
      </c>
      <c r="AM49" s="258"/>
      <c r="AN49" s="258">
        <f t="shared" si="24"/>
        <v>0</v>
      </c>
      <c r="AO49" s="258"/>
      <c r="AP49" s="258">
        <f t="shared" si="100"/>
        <v>0</v>
      </c>
      <c r="AQ49" s="258">
        <f t="shared" si="101"/>
        <v>0</v>
      </c>
      <c r="AR49" s="258"/>
      <c r="AS49" s="258">
        <f t="shared" si="27"/>
        <v>0</v>
      </c>
      <c r="AT49" s="258"/>
      <c r="AU49" s="258">
        <f t="shared" si="100"/>
        <v>0</v>
      </c>
      <c r="AV49" s="258">
        <f t="shared" si="101"/>
        <v>0</v>
      </c>
      <c r="AW49" s="258"/>
      <c r="AX49" s="258">
        <f t="shared" si="30"/>
        <v>0</v>
      </c>
      <c r="AY49" s="258"/>
      <c r="AZ49" s="258">
        <f t="shared" si="100"/>
        <v>0</v>
      </c>
      <c r="BA49" s="258">
        <f t="shared" si="101"/>
        <v>0</v>
      </c>
      <c r="BB49" s="258"/>
      <c r="BC49" s="258">
        <f t="shared" si="33"/>
        <v>11.4</v>
      </c>
      <c r="BD49" s="258"/>
      <c r="BE49" s="258">
        <f t="shared" si="100"/>
        <v>-8.6</v>
      </c>
      <c r="BF49" s="258">
        <f t="shared" si="101"/>
        <v>20</v>
      </c>
      <c r="BG49" s="258"/>
      <c r="BH49" s="258">
        <f t="shared" si="36"/>
        <v>-6</v>
      </c>
      <c r="BI49" s="258"/>
      <c r="BJ49" s="258">
        <f t="shared" si="100"/>
        <v>-6</v>
      </c>
      <c r="BK49" s="258">
        <f t="shared" si="101"/>
        <v>0</v>
      </c>
      <c r="BL49" s="258"/>
      <c r="BM49" s="258">
        <f t="shared" si="39"/>
        <v>0</v>
      </c>
      <c r="BN49" s="258"/>
      <c r="BO49" s="258">
        <f t="shared" si="114"/>
        <v>0</v>
      </c>
      <c r="BP49" s="258">
        <f t="shared" si="115"/>
        <v>0</v>
      </c>
      <c r="BQ49" s="258"/>
      <c r="BR49" s="258">
        <f t="shared" si="42"/>
        <v>0</v>
      </c>
      <c r="BS49" s="258"/>
      <c r="BT49" s="258">
        <f t="shared" si="114"/>
        <v>0</v>
      </c>
      <c r="BU49" s="258">
        <f t="shared" si="115"/>
        <v>0</v>
      </c>
      <c r="BV49" s="258"/>
      <c r="BW49" s="258">
        <f t="shared" si="45"/>
        <v>0</v>
      </c>
      <c r="BX49" s="258"/>
      <c r="BY49" s="258">
        <f t="shared" si="114"/>
        <v>0</v>
      </c>
      <c r="BZ49" s="258">
        <f t="shared" si="115"/>
        <v>0</v>
      </c>
      <c r="CA49" s="258"/>
      <c r="CB49" s="258">
        <f t="shared" si="48"/>
        <v>0</v>
      </c>
      <c r="CC49" s="258"/>
      <c r="CD49" s="258">
        <f t="shared" si="114"/>
        <v>0</v>
      </c>
      <c r="CE49" s="258">
        <f t="shared" si="115"/>
        <v>0</v>
      </c>
      <c r="CF49" s="258"/>
      <c r="CG49" s="258">
        <f t="shared" si="51"/>
        <v>0</v>
      </c>
      <c r="CH49" s="258"/>
      <c r="CI49" s="258">
        <f t="shared" si="114"/>
        <v>0</v>
      </c>
      <c r="CJ49" s="258">
        <f t="shared" si="115"/>
        <v>0</v>
      </c>
      <c r="CK49" s="258"/>
      <c r="CL49" s="258">
        <f t="shared" si="54"/>
        <v>0</v>
      </c>
      <c r="CM49" s="258"/>
      <c r="CN49" s="258">
        <f t="shared" si="114"/>
        <v>0</v>
      </c>
      <c r="CO49" s="258">
        <f t="shared" si="115"/>
        <v>0</v>
      </c>
      <c r="CP49" s="258"/>
      <c r="CQ49" s="258">
        <f t="shared" si="57"/>
        <v>0</v>
      </c>
      <c r="CR49" s="258"/>
      <c r="CS49" s="258">
        <f t="shared" si="114"/>
        <v>0</v>
      </c>
      <c r="CT49" s="258">
        <f t="shared" si="115"/>
        <v>0</v>
      </c>
      <c r="CU49" s="258"/>
      <c r="CV49" s="258">
        <f t="shared" si="60"/>
        <v>0</v>
      </c>
      <c r="CW49" s="258"/>
      <c r="CX49" s="258">
        <f t="shared" si="128"/>
        <v>0</v>
      </c>
      <c r="CY49" s="258">
        <f t="shared" si="129"/>
        <v>0</v>
      </c>
      <c r="CZ49" s="258"/>
      <c r="DA49" s="258">
        <f t="shared" si="63"/>
        <v>0</v>
      </c>
      <c r="DB49" s="258"/>
      <c r="DC49" s="258">
        <f t="shared" si="128"/>
        <v>0</v>
      </c>
      <c r="DD49" s="258">
        <f t="shared" si="129"/>
        <v>0</v>
      </c>
      <c r="DE49" s="258"/>
      <c r="DF49" s="258">
        <f t="shared" si="66"/>
        <v>0</v>
      </c>
      <c r="DG49" s="258"/>
      <c r="DH49" s="258">
        <f t="shared" si="128"/>
        <v>0</v>
      </c>
      <c r="DI49" s="258">
        <f t="shared" si="129"/>
        <v>0</v>
      </c>
      <c r="DJ49" s="258"/>
      <c r="DK49" s="258">
        <f t="shared" si="69"/>
        <v>0</v>
      </c>
      <c r="DL49" s="258"/>
      <c r="DM49" s="258">
        <f t="shared" si="128"/>
        <v>0</v>
      </c>
      <c r="DN49" s="258">
        <f t="shared" si="129"/>
        <v>0</v>
      </c>
      <c r="DO49" s="258"/>
      <c r="DP49" s="258">
        <f t="shared" si="72"/>
        <v>0</v>
      </c>
      <c r="DQ49" s="258"/>
      <c r="DR49" s="258">
        <f t="shared" si="128"/>
        <v>0</v>
      </c>
      <c r="DS49" s="258">
        <f t="shared" si="129"/>
        <v>0</v>
      </c>
      <c r="DT49" s="258"/>
      <c r="DU49" s="258"/>
      <c r="DV49" s="258"/>
      <c r="DW49" s="258"/>
      <c r="DX49" s="258"/>
      <c r="DY49" s="258"/>
      <c r="DZ49" s="258"/>
      <c r="EA49" s="258"/>
      <c r="EB49" s="258"/>
      <c r="EC49" s="258"/>
      <c r="FB49" s="258"/>
      <c r="FC49" s="258"/>
      <c r="FD49" s="258"/>
      <c r="FE49" s="258"/>
      <c r="FF49" s="258"/>
      <c r="FG49" s="258"/>
      <c r="FH49" s="258"/>
      <c r="FI49" s="258"/>
      <c r="FK49" s="258"/>
      <c r="FM49" s="310"/>
      <c r="FN49" s="310"/>
      <c r="FO49" s="310"/>
      <c r="FP49" s="310"/>
      <c r="FQ49" s="310"/>
      <c r="FR49" s="310"/>
      <c r="FS49" s="310"/>
      <c r="FT49" s="310"/>
      <c r="FU49" s="126"/>
      <c r="FV49" s="126"/>
      <c r="FW49" s="126"/>
      <c r="FX49" s="126"/>
      <c r="FY49" s="126"/>
      <c r="FZ49" s="126"/>
      <c r="GA49" s="126"/>
      <c r="GB49" s="126"/>
      <c r="GC49" s="126"/>
      <c r="GD49" s="126"/>
    </row>
    <row r="50" spans="2:186" s="118" customFormat="1" ht="13.5" customHeight="1" x14ac:dyDescent="0.2">
      <c r="B50" s="158" t="str">
        <f t="shared" si="138"/>
        <v>CULLEY, James</v>
      </c>
      <c r="C50" s="324"/>
      <c r="D50" s="324"/>
      <c r="E50" s="324"/>
      <c r="F50" s="258"/>
      <c r="G50" s="258"/>
      <c r="H50" s="258"/>
      <c r="I50" s="258"/>
      <c r="J50" s="258"/>
      <c r="K50" s="258"/>
      <c r="L50" s="258"/>
      <c r="M50" s="123"/>
      <c r="N50" s="258"/>
      <c r="O50" s="258"/>
      <c r="P50" s="258"/>
      <c r="Q50" s="330">
        <f t="shared" si="139"/>
        <v>0</v>
      </c>
      <c r="R50" s="258"/>
      <c r="S50" s="330">
        <f t="shared" si="76"/>
        <v>-2.8</v>
      </c>
      <c r="T50" s="258"/>
      <c r="U50" s="258"/>
      <c r="V50" s="258"/>
      <c r="W50" s="258"/>
      <c r="X50" s="122"/>
      <c r="Y50" s="258">
        <f t="shared" si="77"/>
        <v>0</v>
      </c>
      <c r="Z50" s="258"/>
      <c r="AA50" s="258">
        <f t="shared" si="140"/>
        <v>0</v>
      </c>
      <c r="AB50" s="258">
        <f t="shared" si="141"/>
        <v>0</v>
      </c>
      <c r="AC50" s="258"/>
      <c r="AD50" s="258">
        <f t="shared" si="18"/>
        <v>0</v>
      </c>
      <c r="AE50" s="258"/>
      <c r="AF50" s="258">
        <f t="shared" si="100"/>
        <v>0</v>
      </c>
      <c r="AG50" s="258">
        <f t="shared" si="101"/>
        <v>0</v>
      </c>
      <c r="AH50" s="258"/>
      <c r="AI50" s="258">
        <f t="shared" si="21"/>
        <v>0</v>
      </c>
      <c r="AJ50" s="258"/>
      <c r="AK50" s="258">
        <f t="shared" si="100"/>
        <v>0</v>
      </c>
      <c r="AL50" s="258">
        <f t="shared" si="101"/>
        <v>0</v>
      </c>
      <c r="AM50" s="258"/>
      <c r="AN50" s="258">
        <f t="shared" si="24"/>
        <v>0</v>
      </c>
      <c r="AO50" s="258"/>
      <c r="AP50" s="258">
        <f t="shared" si="100"/>
        <v>0</v>
      </c>
      <c r="AQ50" s="258">
        <f t="shared" si="101"/>
        <v>0</v>
      </c>
      <c r="AR50" s="258"/>
      <c r="AS50" s="258">
        <f t="shared" si="27"/>
        <v>0</v>
      </c>
      <c r="AT50" s="258"/>
      <c r="AU50" s="258">
        <f t="shared" si="100"/>
        <v>0</v>
      </c>
      <c r="AV50" s="258">
        <f t="shared" si="101"/>
        <v>0</v>
      </c>
      <c r="AW50" s="258"/>
      <c r="AX50" s="258">
        <f t="shared" si="30"/>
        <v>0</v>
      </c>
      <c r="AY50" s="258"/>
      <c r="AZ50" s="258">
        <f t="shared" si="100"/>
        <v>0</v>
      </c>
      <c r="BA50" s="258">
        <f t="shared" si="101"/>
        <v>0</v>
      </c>
      <c r="BB50" s="258"/>
      <c r="BC50" s="258">
        <f t="shared" si="33"/>
        <v>0</v>
      </c>
      <c r="BD50" s="258"/>
      <c r="BE50" s="258">
        <f t="shared" si="100"/>
        <v>0</v>
      </c>
      <c r="BF50" s="258">
        <f t="shared" si="101"/>
        <v>0</v>
      </c>
      <c r="BG50" s="258"/>
      <c r="BH50" s="258">
        <f t="shared" si="36"/>
        <v>0</v>
      </c>
      <c r="BI50" s="258"/>
      <c r="BJ50" s="258">
        <f t="shared" si="100"/>
        <v>0</v>
      </c>
      <c r="BK50" s="258">
        <f t="shared" si="101"/>
        <v>0</v>
      </c>
      <c r="BL50" s="258"/>
      <c r="BM50" s="258">
        <f t="shared" si="39"/>
        <v>-2.8</v>
      </c>
      <c r="BN50" s="258"/>
      <c r="BO50" s="258">
        <f t="shared" si="114"/>
        <v>-2.8</v>
      </c>
      <c r="BP50" s="258">
        <f t="shared" si="115"/>
        <v>0</v>
      </c>
      <c r="BQ50" s="258"/>
      <c r="BR50" s="258">
        <f t="shared" si="42"/>
        <v>0</v>
      </c>
      <c r="BS50" s="258"/>
      <c r="BT50" s="258">
        <f t="shared" si="114"/>
        <v>0</v>
      </c>
      <c r="BU50" s="258">
        <f t="shared" si="115"/>
        <v>0</v>
      </c>
      <c r="BV50" s="258"/>
      <c r="BW50" s="258">
        <f t="shared" si="45"/>
        <v>0</v>
      </c>
      <c r="BX50" s="258"/>
      <c r="BY50" s="258">
        <f t="shared" si="114"/>
        <v>0</v>
      </c>
      <c r="BZ50" s="258">
        <f t="shared" si="115"/>
        <v>0</v>
      </c>
      <c r="CA50" s="258"/>
      <c r="CB50" s="258">
        <f t="shared" si="48"/>
        <v>0</v>
      </c>
      <c r="CC50" s="258"/>
      <c r="CD50" s="258">
        <f t="shared" si="114"/>
        <v>0</v>
      </c>
      <c r="CE50" s="258">
        <f t="shared" si="115"/>
        <v>0</v>
      </c>
      <c r="CF50" s="258"/>
      <c r="CG50" s="258">
        <f t="shared" si="51"/>
        <v>0</v>
      </c>
      <c r="CH50" s="258"/>
      <c r="CI50" s="258">
        <f t="shared" si="114"/>
        <v>0</v>
      </c>
      <c r="CJ50" s="258">
        <f t="shared" si="115"/>
        <v>0</v>
      </c>
      <c r="CK50" s="258"/>
      <c r="CL50" s="258">
        <f t="shared" si="54"/>
        <v>0</v>
      </c>
      <c r="CM50" s="258"/>
      <c r="CN50" s="258">
        <f t="shared" si="114"/>
        <v>0</v>
      </c>
      <c r="CO50" s="258">
        <f t="shared" si="115"/>
        <v>0</v>
      </c>
      <c r="CP50" s="258"/>
      <c r="CQ50" s="258">
        <f t="shared" si="57"/>
        <v>0</v>
      </c>
      <c r="CR50" s="258"/>
      <c r="CS50" s="258">
        <f t="shared" si="114"/>
        <v>0</v>
      </c>
      <c r="CT50" s="258">
        <f t="shared" si="115"/>
        <v>0</v>
      </c>
      <c r="CU50" s="258"/>
      <c r="CV50" s="258">
        <f t="shared" si="60"/>
        <v>0</v>
      </c>
      <c r="CW50" s="258"/>
      <c r="CX50" s="258">
        <f t="shared" si="128"/>
        <v>0</v>
      </c>
      <c r="CY50" s="258">
        <f t="shared" si="129"/>
        <v>0</v>
      </c>
      <c r="CZ50" s="258"/>
      <c r="DA50" s="258">
        <f t="shared" si="63"/>
        <v>0</v>
      </c>
      <c r="DB50" s="258"/>
      <c r="DC50" s="258">
        <f t="shared" si="128"/>
        <v>0</v>
      </c>
      <c r="DD50" s="258">
        <f t="shared" si="129"/>
        <v>0</v>
      </c>
      <c r="DE50" s="258"/>
      <c r="DF50" s="258">
        <f t="shared" si="66"/>
        <v>0</v>
      </c>
      <c r="DG50" s="258"/>
      <c r="DH50" s="258">
        <f t="shared" si="128"/>
        <v>0</v>
      </c>
      <c r="DI50" s="258">
        <f t="shared" si="129"/>
        <v>0</v>
      </c>
      <c r="DJ50" s="258"/>
      <c r="DK50" s="258">
        <f t="shared" si="69"/>
        <v>0</v>
      </c>
      <c r="DL50" s="258"/>
      <c r="DM50" s="258">
        <f t="shared" si="128"/>
        <v>0</v>
      </c>
      <c r="DN50" s="258">
        <f t="shared" si="129"/>
        <v>0</v>
      </c>
      <c r="DO50" s="258"/>
      <c r="DP50" s="258">
        <f t="shared" si="72"/>
        <v>0</v>
      </c>
      <c r="DQ50" s="258"/>
      <c r="DR50" s="258">
        <f t="shared" si="128"/>
        <v>0</v>
      </c>
      <c r="DS50" s="258">
        <f t="shared" si="129"/>
        <v>0</v>
      </c>
      <c r="DT50" s="258"/>
      <c r="DU50" s="258"/>
      <c r="DV50" s="258"/>
      <c r="DW50" s="258"/>
      <c r="DX50" s="258"/>
      <c r="DY50" s="258"/>
      <c r="DZ50" s="258"/>
      <c r="EA50" s="258"/>
      <c r="EB50" s="258"/>
      <c r="EC50" s="258"/>
      <c r="FB50" s="258"/>
      <c r="FC50" s="258"/>
      <c r="FD50" s="258"/>
      <c r="FE50" s="258"/>
      <c r="FF50" s="258"/>
      <c r="FG50" s="258"/>
      <c r="FH50" s="258"/>
      <c r="FI50" s="258"/>
      <c r="FK50" s="258"/>
      <c r="FM50" s="310"/>
      <c r="FN50" s="310"/>
      <c r="FO50" s="310"/>
      <c r="FP50" s="310"/>
      <c r="FQ50" s="310"/>
      <c r="FR50" s="310"/>
      <c r="FS50" s="310"/>
      <c r="FT50" s="310"/>
      <c r="FU50" s="126"/>
      <c r="FV50" s="126"/>
      <c r="FW50" s="126"/>
      <c r="FX50" s="126"/>
      <c r="FY50" s="126"/>
      <c r="FZ50" s="126"/>
      <c r="GA50" s="126"/>
      <c r="GB50" s="126"/>
      <c r="GC50" s="126"/>
      <c r="GD50" s="126"/>
    </row>
    <row r="51" spans="2:186" s="118" customFormat="1" ht="13.5" customHeight="1" x14ac:dyDescent="0.2">
      <c r="B51" s="158" t="str">
        <f t="shared" si="138"/>
        <v>OVENS, Rhett</v>
      </c>
      <c r="C51" s="324"/>
      <c r="D51" s="324"/>
      <c r="E51" s="324"/>
      <c r="F51" s="258"/>
      <c r="G51" s="258"/>
      <c r="H51" s="258"/>
      <c r="I51" s="258"/>
      <c r="J51" s="258"/>
      <c r="K51" s="258"/>
      <c r="L51" s="258"/>
      <c r="M51" s="123"/>
      <c r="N51" s="258"/>
      <c r="O51" s="258"/>
      <c r="P51" s="258"/>
      <c r="Q51" s="330">
        <f t="shared" si="139"/>
        <v>0</v>
      </c>
      <c r="R51" s="258"/>
      <c r="S51" s="330">
        <f t="shared" si="76"/>
        <v>16.600000000000001</v>
      </c>
      <c r="T51" s="258"/>
      <c r="U51" s="258"/>
      <c r="V51" s="258"/>
      <c r="W51" s="258"/>
      <c r="X51" s="122"/>
      <c r="Y51" s="258">
        <f t="shared" si="77"/>
        <v>0</v>
      </c>
      <c r="Z51" s="258"/>
      <c r="AA51" s="258">
        <f t="shared" si="140"/>
        <v>0</v>
      </c>
      <c r="AB51" s="258">
        <f t="shared" si="141"/>
        <v>0</v>
      </c>
      <c r="AC51" s="258"/>
      <c r="AD51" s="258">
        <f t="shared" si="18"/>
        <v>0</v>
      </c>
      <c r="AE51" s="258"/>
      <c r="AF51" s="258">
        <f t="shared" si="100"/>
        <v>0</v>
      </c>
      <c r="AG51" s="258">
        <f t="shared" si="101"/>
        <v>0</v>
      </c>
      <c r="AH51" s="258"/>
      <c r="AI51" s="258">
        <f t="shared" si="21"/>
        <v>16.600000000000001</v>
      </c>
      <c r="AJ51" s="258"/>
      <c r="AK51" s="258">
        <f t="shared" si="100"/>
        <v>-3.4</v>
      </c>
      <c r="AL51" s="258">
        <f t="shared" si="101"/>
        <v>20</v>
      </c>
      <c r="AM51" s="258"/>
      <c r="AN51" s="258">
        <f t="shared" si="24"/>
        <v>0</v>
      </c>
      <c r="AO51" s="258"/>
      <c r="AP51" s="258">
        <f t="shared" si="100"/>
        <v>0</v>
      </c>
      <c r="AQ51" s="258">
        <f t="shared" si="101"/>
        <v>0</v>
      </c>
      <c r="AR51" s="258"/>
      <c r="AS51" s="258">
        <f t="shared" si="27"/>
        <v>0</v>
      </c>
      <c r="AT51" s="258"/>
      <c r="AU51" s="258">
        <f t="shared" si="100"/>
        <v>0</v>
      </c>
      <c r="AV51" s="258">
        <f t="shared" si="101"/>
        <v>0</v>
      </c>
      <c r="AW51" s="258"/>
      <c r="AX51" s="258">
        <f t="shared" si="30"/>
        <v>0</v>
      </c>
      <c r="AY51" s="258"/>
      <c r="AZ51" s="258">
        <f t="shared" si="100"/>
        <v>0</v>
      </c>
      <c r="BA51" s="258">
        <f t="shared" si="101"/>
        <v>0</v>
      </c>
      <c r="BB51" s="258"/>
      <c r="BC51" s="258">
        <f t="shared" si="33"/>
        <v>0</v>
      </c>
      <c r="BD51" s="258"/>
      <c r="BE51" s="258">
        <f t="shared" si="100"/>
        <v>0</v>
      </c>
      <c r="BF51" s="258">
        <f t="shared" si="101"/>
        <v>0</v>
      </c>
      <c r="BG51" s="258"/>
      <c r="BH51" s="258">
        <f t="shared" si="36"/>
        <v>0</v>
      </c>
      <c r="BI51" s="258"/>
      <c r="BJ51" s="258">
        <f t="shared" si="100"/>
        <v>0</v>
      </c>
      <c r="BK51" s="258">
        <f t="shared" si="101"/>
        <v>0</v>
      </c>
      <c r="BL51" s="258"/>
      <c r="BM51" s="258">
        <f t="shared" si="39"/>
        <v>0</v>
      </c>
      <c r="BN51" s="258"/>
      <c r="BO51" s="258">
        <f t="shared" si="114"/>
        <v>0</v>
      </c>
      <c r="BP51" s="258">
        <f t="shared" si="115"/>
        <v>0</v>
      </c>
      <c r="BQ51" s="258"/>
      <c r="BR51" s="258">
        <f t="shared" si="42"/>
        <v>0</v>
      </c>
      <c r="BS51" s="258"/>
      <c r="BT51" s="258">
        <f t="shared" si="114"/>
        <v>0</v>
      </c>
      <c r="BU51" s="258">
        <f t="shared" si="115"/>
        <v>0</v>
      </c>
      <c r="BV51" s="258"/>
      <c r="BW51" s="258">
        <f t="shared" si="45"/>
        <v>0</v>
      </c>
      <c r="BX51" s="258"/>
      <c r="BY51" s="258">
        <f t="shared" si="114"/>
        <v>0</v>
      </c>
      <c r="BZ51" s="258">
        <f t="shared" si="115"/>
        <v>0</v>
      </c>
      <c r="CA51" s="258"/>
      <c r="CB51" s="258">
        <f t="shared" si="48"/>
        <v>0</v>
      </c>
      <c r="CC51" s="258"/>
      <c r="CD51" s="258">
        <f t="shared" si="114"/>
        <v>0</v>
      </c>
      <c r="CE51" s="258">
        <f t="shared" si="115"/>
        <v>0</v>
      </c>
      <c r="CF51" s="258"/>
      <c r="CG51" s="258">
        <f t="shared" si="51"/>
        <v>0</v>
      </c>
      <c r="CH51" s="258"/>
      <c r="CI51" s="258">
        <f t="shared" si="114"/>
        <v>0</v>
      </c>
      <c r="CJ51" s="258">
        <f t="shared" si="115"/>
        <v>0</v>
      </c>
      <c r="CK51" s="258"/>
      <c r="CL51" s="258">
        <f t="shared" si="54"/>
        <v>0</v>
      </c>
      <c r="CM51" s="258"/>
      <c r="CN51" s="258">
        <f t="shared" si="114"/>
        <v>0</v>
      </c>
      <c r="CO51" s="258">
        <f t="shared" si="115"/>
        <v>0</v>
      </c>
      <c r="CP51" s="258"/>
      <c r="CQ51" s="258">
        <f t="shared" si="57"/>
        <v>0</v>
      </c>
      <c r="CR51" s="258"/>
      <c r="CS51" s="258">
        <f t="shared" si="114"/>
        <v>0</v>
      </c>
      <c r="CT51" s="258">
        <f t="shared" si="115"/>
        <v>0</v>
      </c>
      <c r="CU51" s="258"/>
      <c r="CV51" s="258">
        <f t="shared" si="60"/>
        <v>0</v>
      </c>
      <c r="CW51" s="258"/>
      <c r="CX51" s="258">
        <f t="shared" si="128"/>
        <v>0</v>
      </c>
      <c r="CY51" s="258">
        <f t="shared" si="129"/>
        <v>0</v>
      </c>
      <c r="CZ51" s="258"/>
      <c r="DA51" s="258">
        <f t="shared" si="63"/>
        <v>0</v>
      </c>
      <c r="DB51" s="258"/>
      <c r="DC51" s="258">
        <f t="shared" si="128"/>
        <v>0</v>
      </c>
      <c r="DD51" s="258">
        <f t="shared" si="129"/>
        <v>0</v>
      </c>
      <c r="DE51" s="258"/>
      <c r="DF51" s="258">
        <f t="shared" si="66"/>
        <v>0</v>
      </c>
      <c r="DG51" s="258"/>
      <c r="DH51" s="258">
        <f t="shared" si="128"/>
        <v>0</v>
      </c>
      <c r="DI51" s="258">
        <f t="shared" si="129"/>
        <v>0</v>
      </c>
      <c r="DJ51" s="258"/>
      <c r="DK51" s="258">
        <f t="shared" si="69"/>
        <v>0</v>
      </c>
      <c r="DL51" s="258"/>
      <c r="DM51" s="258">
        <f t="shared" si="128"/>
        <v>0</v>
      </c>
      <c r="DN51" s="258">
        <f t="shared" si="129"/>
        <v>0</v>
      </c>
      <c r="DO51" s="258"/>
      <c r="DP51" s="258">
        <f t="shared" si="72"/>
        <v>0</v>
      </c>
      <c r="DQ51" s="258"/>
      <c r="DR51" s="258">
        <f t="shared" si="128"/>
        <v>0</v>
      </c>
      <c r="DS51" s="258">
        <f t="shared" si="129"/>
        <v>0</v>
      </c>
      <c r="DT51" s="258"/>
      <c r="DU51" s="258"/>
      <c r="DV51" s="258"/>
      <c r="DW51" s="258"/>
      <c r="DX51" s="258"/>
      <c r="DY51" s="258"/>
      <c r="DZ51" s="258"/>
      <c r="EA51" s="258"/>
      <c r="EB51" s="258"/>
      <c r="EC51" s="258"/>
      <c r="FB51" s="258"/>
      <c r="FC51" s="258"/>
      <c r="FD51" s="258"/>
      <c r="FE51" s="258"/>
      <c r="FF51" s="258"/>
      <c r="FG51" s="258"/>
      <c r="FH51" s="258"/>
      <c r="FI51" s="258"/>
      <c r="FK51" s="258"/>
      <c r="FM51" s="310"/>
      <c r="FN51" s="310"/>
      <c r="FO51" s="310"/>
      <c r="FP51" s="310"/>
      <c r="FQ51" s="310"/>
      <c r="FR51" s="310"/>
      <c r="FS51" s="310"/>
      <c r="FT51" s="310"/>
      <c r="FU51" s="126"/>
      <c r="FV51" s="126"/>
      <c r="FW51" s="126"/>
      <c r="FX51" s="126"/>
      <c r="FY51" s="126"/>
      <c r="FZ51" s="126"/>
      <c r="GA51" s="126"/>
      <c r="GB51" s="126"/>
      <c r="GC51" s="126"/>
      <c r="GD51" s="126"/>
    </row>
    <row r="52" spans="2:186" s="118" customFormat="1" ht="13.5" customHeight="1" x14ac:dyDescent="0.2">
      <c r="B52" s="158" t="str">
        <f t="shared" si="138"/>
        <v>DALE, Colin</v>
      </c>
      <c r="C52" s="324"/>
      <c r="D52" s="324"/>
      <c r="E52" s="324"/>
      <c r="F52" s="258"/>
      <c r="G52" s="258"/>
      <c r="H52" s="258"/>
      <c r="I52" s="258"/>
      <c r="J52" s="258"/>
      <c r="K52" s="258"/>
      <c r="L52" s="258"/>
      <c r="M52" s="123"/>
      <c r="N52" s="258"/>
      <c r="O52" s="258"/>
      <c r="P52" s="258"/>
      <c r="Q52" s="330">
        <f t="shared" si="139"/>
        <v>0</v>
      </c>
      <c r="R52" s="258"/>
      <c r="S52" s="330">
        <f t="shared" si="76"/>
        <v>34.799999999999997</v>
      </c>
      <c r="T52" s="258"/>
      <c r="U52" s="258"/>
      <c r="V52" s="258"/>
      <c r="W52" s="258"/>
      <c r="X52" s="122"/>
      <c r="Y52" s="258">
        <f t="shared" si="77"/>
        <v>0</v>
      </c>
      <c r="Z52" s="258"/>
      <c r="AA52" s="258">
        <f t="shared" si="140"/>
        <v>0</v>
      </c>
      <c r="AB52" s="258">
        <f t="shared" si="141"/>
        <v>0</v>
      </c>
      <c r="AC52" s="258"/>
      <c r="AD52" s="258">
        <f t="shared" si="18"/>
        <v>0</v>
      </c>
      <c r="AE52" s="258"/>
      <c r="AF52" s="258">
        <f t="shared" si="100"/>
        <v>0</v>
      </c>
      <c r="AG52" s="258">
        <f t="shared" si="101"/>
        <v>0</v>
      </c>
      <c r="AH52" s="258"/>
      <c r="AI52" s="258">
        <f t="shared" si="21"/>
        <v>0</v>
      </c>
      <c r="AJ52" s="258"/>
      <c r="AK52" s="258">
        <f t="shared" si="100"/>
        <v>0</v>
      </c>
      <c r="AL52" s="258">
        <f t="shared" si="101"/>
        <v>0</v>
      </c>
      <c r="AM52" s="258"/>
      <c r="AN52" s="258">
        <f t="shared" si="24"/>
        <v>0</v>
      </c>
      <c r="AO52" s="258"/>
      <c r="AP52" s="258">
        <f t="shared" si="100"/>
        <v>0</v>
      </c>
      <c r="AQ52" s="258">
        <f t="shared" si="101"/>
        <v>0</v>
      </c>
      <c r="AR52" s="258"/>
      <c r="AS52" s="258">
        <f t="shared" si="27"/>
        <v>0</v>
      </c>
      <c r="AT52" s="258"/>
      <c r="AU52" s="258">
        <f t="shared" si="100"/>
        <v>0</v>
      </c>
      <c r="AV52" s="258">
        <f t="shared" si="101"/>
        <v>0</v>
      </c>
      <c r="AW52" s="258"/>
      <c r="AX52" s="258">
        <f t="shared" si="30"/>
        <v>0</v>
      </c>
      <c r="AY52" s="258"/>
      <c r="AZ52" s="258">
        <f t="shared" si="100"/>
        <v>0</v>
      </c>
      <c r="BA52" s="258">
        <f t="shared" si="101"/>
        <v>0</v>
      </c>
      <c r="BB52" s="258"/>
      <c r="BC52" s="258">
        <f t="shared" si="33"/>
        <v>0</v>
      </c>
      <c r="BD52" s="258"/>
      <c r="BE52" s="258">
        <f t="shared" si="100"/>
        <v>0</v>
      </c>
      <c r="BF52" s="258">
        <f t="shared" si="101"/>
        <v>0</v>
      </c>
      <c r="BG52" s="258"/>
      <c r="BH52" s="258">
        <f t="shared" si="36"/>
        <v>0</v>
      </c>
      <c r="BI52" s="258"/>
      <c r="BJ52" s="258">
        <f t="shared" si="100"/>
        <v>0</v>
      </c>
      <c r="BK52" s="258">
        <f t="shared" si="101"/>
        <v>0</v>
      </c>
      <c r="BL52" s="258"/>
      <c r="BM52" s="258">
        <f t="shared" si="39"/>
        <v>34.799999999999997</v>
      </c>
      <c r="BN52" s="258"/>
      <c r="BO52" s="258">
        <f t="shared" si="114"/>
        <v>-5.2</v>
      </c>
      <c r="BP52" s="258">
        <f t="shared" si="115"/>
        <v>40</v>
      </c>
      <c r="BQ52" s="258"/>
      <c r="BR52" s="258">
        <f t="shared" si="42"/>
        <v>0</v>
      </c>
      <c r="BS52" s="258"/>
      <c r="BT52" s="258">
        <f t="shared" si="114"/>
        <v>0</v>
      </c>
      <c r="BU52" s="258">
        <f t="shared" si="115"/>
        <v>0</v>
      </c>
      <c r="BV52" s="258"/>
      <c r="BW52" s="258">
        <f t="shared" si="45"/>
        <v>0</v>
      </c>
      <c r="BX52" s="258"/>
      <c r="BY52" s="258">
        <f t="shared" si="114"/>
        <v>0</v>
      </c>
      <c r="BZ52" s="258">
        <f t="shared" si="115"/>
        <v>0</v>
      </c>
      <c r="CA52" s="258"/>
      <c r="CB52" s="258">
        <f t="shared" si="48"/>
        <v>0</v>
      </c>
      <c r="CC52" s="258"/>
      <c r="CD52" s="258">
        <f t="shared" si="114"/>
        <v>0</v>
      </c>
      <c r="CE52" s="258">
        <f t="shared" si="115"/>
        <v>0</v>
      </c>
      <c r="CF52" s="258"/>
      <c r="CG52" s="258">
        <f t="shared" si="51"/>
        <v>0</v>
      </c>
      <c r="CH52" s="258"/>
      <c r="CI52" s="258">
        <f t="shared" si="114"/>
        <v>0</v>
      </c>
      <c r="CJ52" s="258">
        <f t="shared" si="115"/>
        <v>0</v>
      </c>
      <c r="CK52" s="258"/>
      <c r="CL52" s="258">
        <f t="shared" si="54"/>
        <v>0</v>
      </c>
      <c r="CM52" s="258"/>
      <c r="CN52" s="258">
        <f t="shared" si="114"/>
        <v>0</v>
      </c>
      <c r="CO52" s="258">
        <f t="shared" si="115"/>
        <v>0</v>
      </c>
      <c r="CP52" s="258"/>
      <c r="CQ52" s="258">
        <f t="shared" si="57"/>
        <v>0</v>
      </c>
      <c r="CR52" s="258"/>
      <c r="CS52" s="258">
        <f t="shared" si="114"/>
        <v>0</v>
      </c>
      <c r="CT52" s="258">
        <f t="shared" si="115"/>
        <v>0</v>
      </c>
      <c r="CU52" s="258"/>
      <c r="CV52" s="258">
        <f t="shared" si="60"/>
        <v>0</v>
      </c>
      <c r="CW52" s="258"/>
      <c r="CX52" s="258">
        <f t="shared" si="128"/>
        <v>0</v>
      </c>
      <c r="CY52" s="258">
        <f t="shared" si="129"/>
        <v>0</v>
      </c>
      <c r="CZ52" s="258"/>
      <c r="DA52" s="258">
        <f t="shared" si="63"/>
        <v>0</v>
      </c>
      <c r="DB52" s="258"/>
      <c r="DC52" s="258">
        <f t="shared" si="128"/>
        <v>0</v>
      </c>
      <c r="DD52" s="258">
        <f t="shared" si="129"/>
        <v>0</v>
      </c>
      <c r="DE52" s="258"/>
      <c r="DF52" s="258">
        <f t="shared" si="66"/>
        <v>0</v>
      </c>
      <c r="DG52" s="258"/>
      <c r="DH52" s="258">
        <f t="shared" si="128"/>
        <v>0</v>
      </c>
      <c r="DI52" s="258">
        <f t="shared" si="129"/>
        <v>0</v>
      </c>
      <c r="DJ52" s="258"/>
      <c r="DK52" s="258">
        <f t="shared" si="69"/>
        <v>0</v>
      </c>
      <c r="DL52" s="258"/>
      <c r="DM52" s="258">
        <f t="shared" si="128"/>
        <v>0</v>
      </c>
      <c r="DN52" s="258">
        <f t="shared" si="129"/>
        <v>0</v>
      </c>
      <c r="DO52" s="258"/>
      <c r="DP52" s="258">
        <f t="shared" si="72"/>
        <v>0</v>
      </c>
      <c r="DQ52" s="258"/>
      <c r="DR52" s="258">
        <f t="shared" si="128"/>
        <v>0</v>
      </c>
      <c r="DS52" s="258">
        <f t="shared" si="129"/>
        <v>0</v>
      </c>
      <c r="DT52" s="258"/>
      <c r="DU52" s="258"/>
      <c r="DV52" s="258"/>
      <c r="DW52" s="258"/>
      <c r="DX52" s="258"/>
      <c r="DY52" s="258"/>
      <c r="DZ52" s="258"/>
      <c r="EA52" s="258"/>
      <c r="EB52" s="258"/>
      <c r="EC52" s="258"/>
      <c r="FB52" s="258"/>
      <c r="FC52" s="258"/>
      <c r="FD52" s="258"/>
      <c r="FE52" s="258"/>
      <c r="FF52" s="258"/>
      <c r="FG52" s="258"/>
      <c r="FH52" s="258"/>
      <c r="FI52" s="258"/>
      <c r="FK52" s="258"/>
      <c r="FM52" s="310"/>
      <c r="FN52" s="310"/>
      <c r="FO52" s="310"/>
      <c r="FP52" s="310"/>
      <c r="FQ52" s="310"/>
      <c r="FR52" s="310"/>
      <c r="FS52" s="310"/>
      <c r="FT52" s="310"/>
      <c r="FU52" s="126"/>
      <c r="FV52" s="126"/>
      <c r="FW52" s="126"/>
      <c r="FX52" s="126"/>
      <c r="FY52" s="126"/>
      <c r="FZ52" s="126"/>
      <c r="GA52" s="126"/>
      <c r="GB52" s="126"/>
      <c r="GC52" s="126"/>
      <c r="GD52" s="126"/>
    </row>
    <row r="53" spans="2:186" s="118" customFormat="1" ht="13.5" customHeight="1" x14ac:dyDescent="0.2">
      <c r="B53" s="158" t="str">
        <f t="shared" si="138"/>
        <v>BALDEN, Bruce</v>
      </c>
      <c r="C53" s="324"/>
      <c r="D53" s="324"/>
      <c r="E53" s="324"/>
      <c r="F53" s="258"/>
      <c r="G53" s="258"/>
      <c r="H53" s="258"/>
      <c r="I53" s="258"/>
      <c r="J53" s="258"/>
      <c r="K53" s="258"/>
      <c r="L53" s="258"/>
      <c r="M53" s="123"/>
      <c r="N53" s="258"/>
      <c r="O53" s="258"/>
      <c r="P53" s="258"/>
      <c r="Q53" s="330">
        <f t="shared" si="139"/>
        <v>0</v>
      </c>
      <c r="R53" s="258"/>
      <c r="S53" s="330">
        <f t="shared" si="76"/>
        <v>16.399999999999999</v>
      </c>
      <c r="T53" s="258"/>
      <c r="U53" s="258"/>
      <c r="V53" s="258"/>
      <c r="W53" s="258"/>
      <c r="X53" s="122"/>
      <c r="Y53" s="258">
        <f t="shared" si="77"/>
        <v>0</v>
      </c>
      <c r="Z53" s="258"/>
      <c r="AA53" s="258">
        <f t="shared" si="140"/>
        <v>0</v>
      </c>
      <c r="AB53" s="258">
        <f t="shared" si="141"/>
        <v>0</v>
      </c>
      <c r="AC53" s="258"/>
      <c r="AD53" s="258">
        <f t="shared" si="18"/>
        <v>0</v>
      </c>
      <c r="AE53" s="258"/>
      <c r="AF53" s="258">
        <f t="shared" si="100"/>
        <v>0</v>
      </c>
      <c r="AG53" s="258">
        <f t="shared" si="101"/>
        <v>0</v>
      </c>
      <c r="AH53" s="258"/>
      <c r="AI53" s="258">
        <f t="shared" si="21"/>
        <v>0</v>
      </c>
      <c r="AJ53" s="258"/>
      <c r="AK53" s="258">
        <f t="shared" si="100"/>
        <v>0</v>
      </c>
      <c r="AL53" s="258">
        <f t="shared" si="101"/>
        <v>0</v>
      </c>
      <c r="AM53" s="258"/>
      <c r="AN53" s="258">
        <f t="shared" si="24"/>
        <v>0</v>
      </c>
      <c r="AO53" s="258"/>
      <c r="AP53" s="258">
        <f t="shared" si="100"/>
        <v>0</v>
      </c>
      <c r="AQ53" s="258">
        <f t="shared" si="101"/>
        <v>0</v>
      </c>
      <c r="AR53" s="258"/>
      <c r="AS53" s="258">
        <f t="shared" si="27"/>
        <v>0</v>
      </c>
      <c r="AT53" s="258"/>
      <c r="AU53" s="258">
        <f t="shared" si="100"/>
        <v>0</v>
      </c>
      <c r="AV53" s="258">
        <f t="shared" si="101"/>
        <v>0</v>
      </c>
      <c r="AW53" s="258"/>
      <c r="AX53" s="258">
        <f t="shared" si="30"/>
        <v>0</v>
      </c>
      <c r="AY53" s="258"/>
      <c r="AZ53" s="258">
        <f t="shared" si="100"/>
        <v>0</v>
      </c>
      <c r="BA53" s="258">
        <f t="shared" si="101"/>
        <v>0</v>
      </c>
      <c r="BB53" s="258"/>
      <c r="BC53" s="258">
        <f t="shared" si="33"/>
        <v>0</v>
      </c>
      <c r="BD53" s="258"/>
      <c r="BE53" s="258">
        <f t="shared" si="100"/>
        <v>0</v>
      </c>
      <c r="BF53" s="258">
        <f t="shared" si="101"/>
        <v>0</v>
      </c>
      <c r="BG53" s="258"/>
      <c r="BH53" s="258">
        <f t="shared" si="36"/>
        <v>16.399999999999999</v>
      </c>
      <c r="BI53" s="258"/>
      <c r="BJ53" s="258">
        <f t="shared" si="100"/>
        <v>-3.6</v>
      </c>
      <c r="BK53" s="258">
        <f t="shared" si="101"/>
        <v>20</v>
      </c>
      <c r="BL53" s="258"/>
      <c r="BM53" s="258">
        <f t="shared" si="39"/>
        <v>0</v>
      </c>
      <c r="BN53" s="258"/>
      <c r="BO53" s="258">
        <f t="shared" si="114"/>
        <v>0</v>
      </c>
      <c r="BP53" s="258">
        <f t="shared" si="115"/>
        <v>0</v>
      </c>
      <c r="BQ53" s="258"/>
      <c r="BR53" s="258">
        <f t="shared" si="42"/>
        <v>0</v>
      </c>
      <c r="BS53" s="258"/>
      <c r="BT53" s="258">
        <f t="shared" si="114"/>
        <v>0</v>
      </c>
      <c r="BU53" s="258">
        <f t="shared" si="115"/>
        <v>0</v>
      </c>
      <c r="BV53" s="258"/>
      <c r="BW53" s="258">
        <f t="shared" si="45"/>
        <v>0</v>
      </c>
      <c r="BX53" s="258"/>
      <c r="BY53" s="258">
        <f t="shared" si="114"/>
        <v>0</v>
      </c>
      <c r="BZ53" s="258">
        <f t="shared" si="115"/>
        <v>0</v>
      </c>
      <c r="CA53" s="258"/>
      <c r="CB53" s="258">
        <f t="shared" si="48"/>
        <v>0</v>
      </c>
      <c r="CC53" s="258"/>
      <c r="CD53" s="258">
        <f t="shared" si="114"/>
        <v>0</v>
      </c>
      <c r="CE53" s="258">
        <f t="shared" si="115"/>
        <v>0</v>
      </c>
      <c r="CF53" s="258"/>
      <c r="CG53" s="258">
        <f t="shared" si="51"/>
        <v>0</v>
      </c>
      <c r="CH53" s="258"/>
      <c r="CI53" s="258">
        <f t="shared" si="114"/>
        <v>0</v>
      </c>
      <c r="CJ53" s="258">
        <f t="shared" si="115"/>
        <v>0</v>
      </c>
      <c r="CK53" s="258"/>
      <c r="CL53" s="258">
        <f t="shared" si="54"/>
        <v>0</v>
      </c>
      <c r="CM53" s="258"/>
      <c r="CN53" s="258">
        <f t="shared" si="114"/>
        <v>0</v>
      </c>
      <c r="CO53" s="258">
        <f t="shared" si="115"/>
        <v>0</v>
      </c>
      <c r="CP53" s="258"/>
      <c r="CQ53" s="258">
        <f t="shared" si="57"/>
        <v>0</v>
      </c>
      <c r="CR53" s="258"/>
      <c r="CS53" s="258">
        <f t="shared" si="114"/>
        <v>0</v>
      </c>
      <c r="CT53" s="258">
        <f t="shared" si="115"/>
        <v>0</v>
      </c>
      <c r="CU53" s="258"/>
      <c r="CV53" s="258">
        <f t="shared" si="60"/>
        <v>0</v>
      </c>
      <c r="CW53" s="258"/>
      <c r="CX53" s="258">
        <f t="shared" si="128"/>
        <v>0</v>
      </c>
      <c r="CY53" s="258">
        <f t="shared" si="129"/>
        <v>0</v>
      </c>
      <c r="CZ53" s="258"/>
      <c r="DA53" s="258">
        <f t="shared" si="63"/>
        <v>0</v>
      </c>
      <c r="DB53" s="258"/>
      <c r="DC53" s="258">
        <f t="shared" si="128"/>
        <v>0</v>
      </c>
      <c r="DD53" s="258">
        <f t="shared" si="129"/>
        <v>0</v>
      </c>
      <c r="DE53" s="258"/>
      <c r="DF53" s="258">
        <f t="shared" si="66"/>
        <v>0</v>
      </c>
      <c r="DG53" s="258"/>
      <c r="DH53" s="258">
        <f t="shared" si="128"/>
        <v>0</v>
      </c>
      <c r="DI53" s="258">
        <f t="shared" si="129"/>
        <v>0</v>
      </c>
      <c r="DJ53" s="258"/>
      <c r="DK53" s="258">
        <f t="shared" si="69"/>
        <v>0</v>
      </c>
      <c r="DL53" s="258"/>
      <c r="DM53" s="258">
        <f t="shared" si="128"/>
        <v>0</v>
      </c>
      <c r="DN53" s="258">
        <f t="shared" si="129"/>
        <v>0</v>
      </c>
      <c r="DO53" s="258"/>
      <c r="DP53" s="258">
        <f t="shared" si="72"/>
        <v>0</v>
      </c>
      <c r="DQ53" s="258"/>
      <c r="DR53" s="258">
        <f t="shared" si="128"/>
        <v>0</v>
      </c>
      <c r="DS53" s="258">
        <f t="shared" si="129"/>
        <v>0</v>
      </c>
      <c r="DT53" s="258"/>
      <c r="DU53" s="258"/>
      <c r="DV53" s="258"/>
      <c r="DW53" s="258"/>
      <c r="DX53" s="258"/>
      <c r="DY53" s="258"/>
      <c r="DZ53" s="258"/>
      <c r="EA53" s="258"/>
      <c r="EB53" s="258"/>
      <c r="EC53" s="258"/>
      <c r="FB53" s="258"/>
      <c r="FC53" s="258"/>
      <c r="FD53" s="258"/>
      <c r="FE53" s="258"/>
      <c r="FF53" s="258"/>
      <c r="FG53" s="258"/>
      <c r="FH53" s="258"/>
      <c r="FI53" s="258"/>
      <c r="FK53" s="258"/>
      <c r="FM53" s="310"/>
      <c r="FN53" s="310"/>
      <c r="FO53" s="310"/>
      <c r="FP53" s="310"/>
      <c r="FQ53" s="310"/>
      <c r="FR53" s="310"/>
      <c r="FS53" s="310"/>
      <c r="FT53" s="310"/>
      <c r="FU53" s="126"/>
      <c r="FV53" s="126"/>
      <c r="FW53" s="126"/>
      <c r="FX53" s="126"/>
      <c r="FY53" s="126"/>
      <c r="FZ53" s="126"/>
      <c r="GA53" s="126"/>
      <c r="GB53" s="126"/>
      <c r="GC53" s="126"/>
      <c r="GD53" s="126"/>
    </row>
    <row r="54" spans="2:186" s="118" customFormat="1" ht="13.5" customHeight="1" x14ac:dyDescent="0.2">
      <c r="B54" s="158" t="str">
        <f t="shared" si="138"/>
        <v>GREENING, Ed</v>
      </c>
      <c r="C54" s="324"/>
      <c r="D54" s="324"/>
      <c r="E54" s="324"/>
      <c r="F54" s="258"/>
      <c r="G54" s="258"/>
      <c r="H54" s="258"/>
      <c r="I54" s="258"/>
      <c r="J54" s="258"/>
      <c r="K54" s="258"/>
      <c r="L54" s="258"/>
      <c r="M54" s="123"/>
      <c r="N54" s="258"/>
      <c r="O54" s="258"/>
      <c r="P54" s="258"/>
      <c r="Q54" s="330">
        <f t="shared" si="139"/>
        <v>0</v>
      </c>
      <c r="R54" s="258"/>
      <c r="S54" s="330">
        <f t="shared" si="76"/>
        <v>12</v>
      </c>
      <c r="T54" s="258"/>
      <c r="U54" s="258"/>
      <c r="V54" s="258"/>
      <c r="W54" s="258"/>
      <c r="X54" s="122"/>
      <c r="Y54" s="258">
        <f t="shared" si="77"/>
        <v>0</v>
      </c>
      <c r="Z54" s="258"/>
      <c r="AA54" s="258">
        <f t="shared" si="140"/>
        <v>0</v>
      </c>
      <c r="AB54" s="258">
        <f t="shared" si="141"/>
        <v>0</v>
      </c>
      <c r="AC54" s="258"/>
      <c r="AD54" s="258">
        <f t="shared" si="18"/>
        <v>0</v>
      </c>
      <c r="AE54" s="258"/>
      <c r="AF54" s="258">
        <f t="shared" si="100"/>
        <v>0</v>
      </c>
      <c r="AG54" s="258">
        <f t="shared" si="101"/>
        <v>0</v>
      </c>
      <c r="AH54" s="258"/>
      <c r="AI54" s="258">
        <f t="shared" si="21"/>
        <v>0</v>
      </c>
      <c r="AJ54" s="258"/>
      <c r="AK54" s="258">
        <f t="shared" si="100"/>
        <v>0</v>
      </c>
      <c r="AL54" s="258">
        <f t="shared" si="101"/>
        <v>0</v>
      </c>
      <c r="AM54" s="258"/>
      <c r="AN54" s="258">
        <f t="shared" si="24"/>
        <v>0</v>
      </c>
      <c r="AO54" s="258"/>
      <c r="AP54" s="258">
        <f t="shared" si="100"/>
        <v>0</v>
      </c>
      <c r="AQ54" s="258">
        <f t="shared" si="101"/>
        <v>0</v>
      </c>
      <c r="AR54" s="258"/>
      <c r="AS54" s="258">
        <f t="shared" si="27"/>
        <v>0</v>
      </c>
      <c r="AT54" s="258"/>
      <c r="AU54" s="258">
        <f t="shared" si="100"/>
        <v>0</v>
      </c>
      <c r="AV54" s="258">
        <f t="shared" si="101"/>
        <v>0</v>
      </c>
      <c r="AW54" s="258"/>
      <c r="AX54" s="258">
        <f t="shared" si="30"/>
        <v>0</v>
      </c>
      <c r="AY54" s="258"/>
      <c r="AZ54" s="258">
        <f t="shared" si="100"/>
        <v>0</v>
      </c>
      <c r="BA54" s="258">
        <f t="shared" si="101"/>
        <v>0</v>
      </c>
      <c r="BB54" s="258"/>
      <c r="BC54" s="258">
        <f t="shared" si="33"/>
        <v>0</v>
      </c>
      <c r="BD54" s="258"/>
      <c r="BE54" s="258">
        <f t="shared" si="100"/>
        <v>0</v>
      </c>
      <c r="BF54" s="258">
        <f t="shared" si="101"/>
        <v>0</v>
      </c>
      <c r="BG54" s="258"/>
      <c r="BH54" s="258">
        <f t="shared" si="36"/>
        <v>0</v>
      </c>
      <c r="BI54" s="258"/>
      <c r="BJ54" s="258">
        <f t="shared" si="100"/>
        <v>0</v>
      </c>
      <c r="BK54" s="258">
        <f t="shared" si="101"/>
        <v>0</v>
      </c>
      <c r="BL54" s="258"/>
      <c r="BM54" s="258">
        <f t="shared" si="39"/>
        <v>0</v>
      </c>
      <c r="BN54" s="258"/>
      <c r="BO54" s="258">
        <f t="shared" si="114"/>
        <v>0</v>
      </c>
      <c r="BP54" s="258">
        <f t="shared" si="115"/>
        <v>0</v>
      </c>
      <c r="BQ54" s="258"/>
      <c r="BR54" s="258">
        <f t="shared" si="42"/>
        <v>0</v>
      </c>
      <c r="BS54" s="258"/>
      <c r="BT54" s="258">
        <f t="shared" si="114"/>
        <v>0</v>
      </c>
      <c r="BU54" s="258">
        <f t="shared" si="115"/>
        <v>0</v>
      </c>
      <c r="BV54" s="258"/>
      <c r="BW54" s="258">
        <f t="shared" si="45"/>
        <v>0</v>
      </c>
      <c r="BX54" s="258"/>
      <c r="BY54" s="258">
        <f t="shared" si="114"/>
        <v>0</v>
      </c>
      <c r="BZ54" s="258">
        <f t="shared" si="115"/>
        <v>0</v>
      </c>
      <c r="CA54" s="258"/>
      <c r="CB54" s="258">
        <f t="shared" si="48"/>
        <v>0</v>
      </c>
      <c r="CC54" s="258"/>
      <c r="CD54" s="258">
        <f t="shared" si="114"/>
        <v>0</v>
      </c>
      <c r="CE54" s="258">
        <f t="shared" si="115"/>
        <v>0</v>
      </c>
      <c r="CF54" s="258"/>
      <c r="CG54" s="258">
        <f t="shared" si="51"/>
        <v>0</v>
      </c>
      <c r="CH54" s="258"/>
      <c r="CI54" s="258">
        <f t="shared" si="114"/>
        <v>0</v>
      </c>
      <c r="CJ54" s="258">
        <f t="shared" si="115"/>
        <v>0</v>
      </c>
      <c r="CK54" s="258"/>
      <c r="CL54" s="258">
        <f t="shared" si="54"/>
        <v>0</v>
      </c>
      <c r="CM54" s="258"/>
      <c r="CN54" s="258">
        <f t="shared" si="114"/>
        <v>0</v>
      </c>
      <c r="CO54" s="258">
        <f t="shared" si="115"/>
        <v>0</v>
      </c>
      <c r="CP54" s="258"/>
      <c r="CQ54" s="258">
        <f t="shared" si="57"/>
        <v>0</v>
      </c>
      <c r="CR54" s="258"/>
      <c r="CS54" s="258">
        <f t="shared" si="114"/>
        <v>0</v>
      </c>
      <c r="CT54" s="258">
        <f t="shared" si="115"/>
        <v>0</v>
      </c>
      <c r="CU54" s="258"/>
      <c r="CV54" s="258">
        <f t="shared" si="60"/>
        <v>12</v>
      </c>
      <c r="CW54" s="258"/>
      <c r="CX54" s="258">
        <f t="shared" si="128"/>
        <v>-8</v>
      </c>
      <c r="CY54" s="258">
        <f t="shared" si="129"/>
        <v>20</v>
      </c>
      <c r="CZ54" s="258"/>
      <c r="DA54" s="258">
        <f t="shared" si="63"/>
        <v>0</v>
      </c>
      <c r="DB54" s="258"/>
      <c r="DC54" s="258">
        <f t="shared" si="128"/>
        <v>0</v>
      </c>
      <c r="DD54" s="258">
        <f t="shared" si="129"/>
        <v>0</v>
      </c>
      <c r="DE54" s="258"/>
      <c r="DF54" s="258">
        <f t="shared" si="66"/>
        <v>0</v>
      </c>
      <c r="DG54" s="258"/>
      <c r="DH54" s="258">
        <f t="shared" si="128"/>
        <v>0</v>
      </c>
      <c r="DI54" s="258">
        <f t="shared" si="129"/>
        <v>0</v>
      </c>
      <c r="DJ54" s="258"/>
      <c r="DK54" s="258">
        <f t="shared" si="69"/>
        <v>0</v>
      </c>
      <c r="DL54" s="258"/>
      <c r="DM54" s="258">
        <f t="shared" si="128"/>
        <v>0</v>
      </c>
      <c r="DN54" s="258">
        <f t="shared" si="129"/>
        <v>0</v>
      </c>
      <c r="DO54" s="258"/>
      <c r="DP54" s="258">
        <f t="shared" si="72"/>
        <v>0</v>
      </c>
      <c r="DQ54" s="258"/>
      <c r="DR54" s="258">
        <f t="shared" si="128"/>
        <v>0</v>
      </c>
      <c r="DS54" s="258">
        <f t="shared" si="129"/>
        <v>0</v>
      </c>
      <c r="DT54" s="258"/>
      <c r="DU54" s="258"/>
      <c r="DV54" s="258"/>
      <c r="DW54" s="258"/>
      <c r="DX54" s="258"/>
      <c r="DY54" s="258"/>
      <c r="DZ54" s="258"/>
      <c r="EA54" s="258"/>
      <c r="EB54" s="258"/>
      <c r="EC54" s="258"/>
      <c r="FB54" s="258"/>
      <c r="FC54" s="258"/>
      <c r="FD54" s="258"/>
      <c r="FE54" s="258"/>
      <c r="FF54" s="258"/>
      <c r="FG54" s="258"/>
      <c r="FH54" s="258"/>
      <c r="FI54" s="258"/>
      <c r="FK54" s="258"/>
      <c r="FM54" s="310"/>
      <c r="FN54" s="310"/>
      <c r="FO54" s="310"/>
      <c r="FP54" s="310"/>
      <c r="FQ54" s="310"/>
      <c r="FR54" s="310"/>
      <c r="FS54" s="310"/>
      <c r="FT54" s="310"/>
      <c r="FU54" s="126"/>
      <c r="FV54" s="126"/>
      <c r="FW54" s="126"/>
      <c r="FX54" s="126"/>
      <c r="FY54" s="126"/>
      <c r="FZ54" s="126"/>
      <c r="GA54" s="126"/>
      <c r="GB54" s="126"/>
      <c r="GC54" s="126"/>
      <c r="GD54" s="126"/>
    </row>
    <row r="55" spans="2:186" s="118" customFormat="1" ht="13.5" customHeight="1" x14ac:dyDescent="0.2">
      <c r="B55" s="158" t="str">
        <f t="shared" si="138"/>
        <v>HOAR, Carl</v>
      </c>
      <c r="C55" s="324"/>
      <c r="D55" s="324"/>
      <c r="E55" s="324"/>
      <c r="F55" s="258"/>
      <c r="G55" s="258"/>
      <c r="H55" s="258"/>
      <c r="I55" s="258"/>
      <c r="J55" s="258"/>
      <c r="K55" s="258"/>
      <c r="L55" s="258"/>
      <c r="M55" s="123"/>
      <c r="N55" s="258"/>
      <c r="O55" s="258"/>
      <c r="P55" s="258"/>
      <c r="Q55" s="330">
        <f t="shared" si="139"/>
        <v>0</v>
      </c>
      <c r="R55" s="258"/>
      <c r="S55" s="330">
        <f t="shared" si="76"/>
        <v>16.8</v>
      </c>
      <c r="T55" s="258"/>
      <c r="U55" s="258"/>
      <c r="V55" s="258"/>
      <c r="W55" s="258"/>
      <c r="X55" s="122"/>
      <c r="Y55" s="258">
        <f t="shared" si="77"/>
        <v>0</v>
      </c>
      <c r="Z55" s="258"/>
      <c r="AA55" s="258">
        <f t="shared" si="140"/>
        <v>0</v>
      </c>
      <c r="AB55" s="258">
        <f t="shared" si="141"/>
        <v>0</v>
      </c>
      <c r="AC55" s="258"/>
      <c r="AD55" s="258">
        <f t="shared" si="18"/>
        <v>0</v>
      </c>
      <c r="AE55" s="258"/>
      <c r="AF55" s="258">
        <f t="shared" si="100"/>
        <v>0</v>
      </c>
      <c r="AG55" s="258">
        <f t="shared" si="101"/>
        <v>0</v>
      </c>
      <c r="AH55" s="258"/>
      <c r="AI55" s="258">
        <f t="shared" si="21"/>
        <v>0</v>
      </c>
      <c r="AJ55" s="258"/>
      <c r="AK55" s="258">
        <f t="shared" si="100"/>
        <v>0</v>
      </c>
      <c r="AL55" s="258">
        <f t="shared" si="101"/>
        <v>0</v>
      </c>
      <c r="AM55" s="258"/>
      <c r="AN55" s="258">
        <f t="shared" si="24"/>
        <v>0</v>
      </c>
      <c r="AO55" s="258"/>
      <c r="AP55" s="258">
        <f t="shared" si="100"/>
        <v>0</v>
      </c>
      <c r="AQ55" s="258">
        <f t="shared" si="101"/>
        <v>0</v>
      </c>
      <c r="AR55" s="258"/>
      <c r="AS55" s="258">
        <f t="shared" si="27"/>
        <v>0</v>
      </c>
      <c r="AT55" s="258"/>
      <c r="AU55" s="258">
        <f t="shared" si="100"/>
        <v>0</v>
      </c>
      <c r="AV55" s="258">
        <f t="shared" si="101"/>
        <v>0</v>
      </c>
      <c r="AW55" s="258"/>
      <c r="AX55" s="258">
        <f t="shared" si="30"/>
        <v>0</v>
      </c>
      <c r="AY55" s="258"/>
      <c r="AZ55" s="258">
        <f t="shared" si="100"/>
        <v>0</v>
      </c>
      <c r="BA55" s="258">
        <f t="shared" si="101"/>
        <v>0</v>
      </c>
      <c r="BB55" s="258"/>
      <c r="BC55" s="258">
        <f t="shared" si="33"/>
        <v>0</v>
      </c>
      <c r="BD55" s="258"/>
      <c r="BE55" s="258">
        <f t="shared" si="100"/>
        <v>0</v>
      </c>
      <c r="BF55" s="258">
        <f t="shared" si="101"/>
        <v>0</v>
      </c>
      <c r="BG55" s="258"/>
      <c r="BH55" s="258">
        <f t="shared" si="36"/>
        <v>0</v>
      </c>
      <c r="BI55" s="258"/>
      <c r="BJ55" s="258">
        <f t="shared" si="100"/>
        <v>0</v>
      </c>
      <c r="BK55" s="258">
        <f t="shared" si="101"/>
        <v>0</v>
      </c>
      <c r="BL55" s="258"/>
      <c r="BM55" s="258">
        <f t="shared" si="39"/>
        <v>0</v>
      </c>
      <c r="BN55" s="258"/>
      <c r="BO55" s="258">
        <f t="shared" si="114"/>
        <v>0</v>
      </c>
      <c r="BP55" s="258">
        <f t="shared" si="115"/>
        <v>0</v>
      </c>
      <c r="BQ55" s="258"/>
      <c r="BR55" s="258">
        <f t="shared" si="42"/>
        <v>0</v>
      </c>
      <c r="BS55" s="258"/>
      <c r="BT55" s="258">
        <f t="shared" si="114"/>
        <v>0</v>
      </c>
      <c r="BU55" s="258">
        <f t="shared" si="115"/>
        <v>0</v>
      </c>
      <c r="BV55" s="258"/>
      <c r="BW55" s="258">
        <f t="shared" si="45"/>
        <v>16.8</v>
      </c>
      <c r="BX55" s="258"/>
      <c r="BY55" s="258">
        <f t="shared" si="114"/>
        <v>-3.2</v>
      </c>
      <c r="BZ55" s="258">
        <f t="shared" si="115"/>
        <v>20</v>
      </c>
      <c r="CA55" s="258"/>
      <c r="CB55" s="258">
        <f t="shared" si="48"/>
        <v>0</v>
      </c>
      <c r="CC55" s="258"/>
      <c r="CD55" s="258">
        <f t="shared" si="114"/>
        <v>0</v>
      </c>
      <c r="CE55" s="258">
        <f t="shared" si="115"/>
        <v>0</v>
      </c>
      <c r="CF55" s="258"/>
      <c r="CG55" s="258">
        <f t="shared" si="51"/>
        <v>0</v>
      </c>
      <c r="CH55" s="258"/>
      <c r="CI55" s="258">
        <f t="shared" si="114"/>
        <v>0</v>
      </c>
      <c r="CJ55" s="258">
        <f t="shared" si="115"/>
        <v>0</v>
      </c>
      <c r="CK55" s="258"/>
      <c r="CL55" s="258">
        <f t="shared" si="54"/>
        <v>0</v>
      </c>
      <c r="CM55" s="258"/>
      <c r="CN55" s="258">
        <f t="shared" si="114"/>
        <v>0</v>
      </c>
      <c r="CO55" s="258">
        <f t="shared" si="115"/>
        <v>0</v>
      </c>
      <c r="CP55" s="258"/>
      <c r="CQ55" s="258">
        <f t="shared" si="57"/>
        <v>0</v>
      </c>
      <c r="CR55" s="258"/>
      <c r="CS55" s="258">
        <f t="shared" si="114"/>
        <v>0</v>
      </c>
      <c r="CT55" s="258">
        <f t="shared" si="115"/>
        <v>0</v>
      </c>
      <c r="CU55" s="258"/>
      <c r="CV55" s="258">
        <f t="shared" si="60"/>
        <v>0</v>
      </c>
      <c r="CW55" s="258"/>
      <c r="CX55" s="258">
        <f t="shared" si="128"/>
        <v>0</v>
      </c>
      <c r="CY55" s="258">
        <f t="shared" si="129"/>
        <v>0</v>
      </c>
      <c r="CZ55" s="258"/>
      <c r="DA55" s="258">
        <f t="shared" si="63"/>
        <v>0</v>
      </c>
      <c r="DB55" s="258"/>
      <c r="DC55" s="258">
        <f t="shared" si="128"/>
        <v>0</v>
      </c>
      <c r="DD55" s="258">
        <f t="shared" si="129"/>
        <v>0</v>
      </c>
      <c r="DE55" s="258"/>
      <c r="DF55" s="258">
        <f t="shared" si="66"/>
        <v>0</v>
      </c>
      <c r="DG55" s="258"/>
      <c r="DH55" s="258">
        <f t="shared" si="128"/>
        <v>0</v>
      </c>
      <c r="DI55" s="258">
        <f t="shared" si="129"/>
        <v>0</v>
      </c>
      <c r="DJ55" s="258"/>
      <c r="DK55" s="258">
        <f t="shared" si="69"/>
        <v>0</v>
      </c>
      <c r="DL55" s="258"/>
      <c r="DM55" s="258">
        <f t="shared" si="128"/>
        <v>0</v>
      </c>
      <c r="DN55" s="258">
        <f t="shared" si="129"/>
        <v>0</v>
      </c>
      <c r="DO55" s="258"/>
      <c r="DP55" s="258">
        <f t="shared" si="72"/>
        <v>0</v>
      </c>
      <c r="DQ55" s="258"/>
      <c r="DR55" s="258">
        <f t="shared" si="128"/>
        <v>0</v>
      </c>
      <c r="DS55" s="258">
        <f t="shared" si="129"/>
        <v>0</v>
      </c>
      <c r="DT55" s="258"/>
      <c r="DU55" s="258"/>
      <c r="DV55" s="258"/>
      <c r="DW55" s="258"/>
      <c r="DX55" s="258"/>
      <c r="DY55" s="258"/>
      <c r="DZ55" s="258"/>
      <c r="EA55" s="258"/>
      <c r="EB55" s="258"/>
      <c r="EC55" s="258"/>
      <c r="FB55" s="258"/>
      <c r="FC55" s="258"/>
      <c r="FD55" s="258"/>
      <c r="FE55" s="258"/>
      <c r="FF55" s="258"/>
      <c r="FG55" s="258"/>
      <c r="FH55" s="258"/>
      <c r="FI55" s="258"/>
      <c r="FK55" s="258"/>
      <c r="FM55" s="310"/>
      <c r="FN55" s="310"/>
      <c r="FO55" s="310"/>
      <c r="FP55" s="310"/>
      <c r="FQ55" s="310"/>
      <c r="FR55" s="310"/>
      <c r="FS55" s="310"/>
      <c r="FT55" s="310"/>
      <c r="FU55" s="126"/>
      <c r="FV55" s="126"/>
      <c r="FW55" s="126"/>
      <c r="FX55" s="126"/>
      <c r="FY55" s="126"/>
      <c r="FZ55" s="126"/>
      <c r="GA55" s="126"/>
      <c r="GB55" s="126"/>
      <c r="GC55" s="126"/>
      <c r="GD55" s="126"/>
    </row>
    <row r="56" spans="2:186" s="118" customFormat="1" ht="13.5" customHeight="1" x14ac:dyDescent="0.2">
      <c r="B56" s="158" t="str">
        <f t="shared" si="138"/>
        <v>BALOCH, Ali</v>
      </c>
      <c r="C56" s="324"/>
      <c r="D56" s="324"/>
      <c r="E56" s="324"/>
      <c r="F56" s="258"/>
      <c r="G56" s="258"/>
      <c r="H56" s="258"/>
      <c r="I56" s="258"/>
      <c r="J56" s="258"/>
      <c r="K56" s="258"/>
      <c r="L56" s="258"/>
      <c r="M56" s="123"/>
      <c r="N56" s="258"/>
      <c r="O56" s="258"/>
      <c r="P56" s="258"/>
      <c r="Q56" s="330">
        <f t="shared" si="139"/>
        <v>0</v>
      </c>
      <c r="R56" s="258"/>
      <c r="S56" s="330">
        <f t="shared" si="76"/>
        <v>32.200000000000003</v>
      </c>
      <c r="T56" s="258"/>
      <c r="U56" s="258"/>
      <c r="V56" s="258"/>
      <c r="W56" s="258"/>
      <c r="X56" s="122"/>
      <c r="Y56" s="258">
        <f t="shared" si="77"/>
        <v>0</v>
      </c>
      <c r="Z56" s="258"/>
      <c r="AA56" s="258">
        <f t="shared" si="140"/>
        <v>0</v>
      </c>
      <c r="AB56" s="258">
        <f t="shared" si="141"/>
        <v>0</v>
      </c>
      <c r="AC56" s="258"/>
      <c r="AD56" s="258">
        <f t="shared" si="18"/>
        <v>0</v>
      </c>
      <c r="AE56" s="258"/>
      <c r="AF56" s="258">
        <f t="shared" si="100"/>
        <v>0</v>
      </c>
      <c r="AG56" s="258">
        <f t="shared" si="101"/>
        <v>0</v>
      </c>
      <c r="AH56" s="258"/>
      <c r="AI56" s="258">
        <f t="shared" si="21"/>
        <v>0</v>
      </c>
      <c r="AJ56" s="258"/>
      <c r="AK56" s="258">
        <f t="shared" si="100"/>
        <v>0</v>
      </c>
      <c r="AL56" s="258">
        <f t="shared" si="101"/>
        <v>0</v>
      </c>
      <c r="AM56" s="258"/>
      <c r="AN56" s="258">
        <f t="shared" si="24"/>
        <v>0</v>
      </c>
      <c r="AO56" s="258"/>
      <c r="AP56" s="258">
        <f t="shared" si="100"/>
        <v>0</v>
      </c>
      <c r="AQ56" s="258">
        <f t="shared" si="101"/>
        <v>0</v>
      </c>
      <c r="AR56" s="258"/>
      <c r="AS56" s="258">
        <f t="shared" si="27"/>
        <v>0</v>
      </c>
      <c r="AT56" s="258"/>
      <c r="AU56" s="258">
        <f t="shared" si="100"/>
        <v>0</v>
      </c>
      <c r="AV56" s="258">
        <f t="shared" si="101"/>
        <v>0</v>
      </c>
      <c r="AW56" s="258"/>
      <c r="AX56" s="258">
        <f t="shared" si="30"/>
        <v>0</v>
      </c>
      <c r="AY56" s="258"/>
      <c r="AZ56" s="258">
        <f t="shared" si="100"/>
        <v>0</v>
      </c>
      <c r="BA56" s="258">
        <f t="shared" si="101"/>
        <v>0</v>
      </c>
      <c r="BB56" s="258"/>
      <c r="BC56" s="258">
        <f t="shared" si="33"/>
        <v>0</v>
      </c>
      <c r="BD56" s="258"/>
      <c r="BE56" s="258">
        <f t="shared" si="100"/>
        <v>0</v>
      </c>
      <c r="BF56" s="258">
        <f t="shared" si="101"/>
        <v>0</v>
      </c>
      <c r="BG56" s="258"/>
      <c r="BH56" s="258">
        <f t="shared" si="36"/>
        <v>0</v>
      </c>
      <c r="BI56" s="258"/>
      <c r="BJ56" s="258">
        <f t="shared" si="100"/>
        <v>0</v>
      </c>
      <c r="BK56" s="258">
        <f t="shared" si="101"/>
        <v>0</v>
      </c>
      <c r="BL56" s="258"/>
      <c r="BM56" s="258">
        <f t="shared" si="39"/>
        <v>0</v>
      </c>
      <c r="BN56" s="258"/>
      <c r="BO56" s="258">
        <f t="shared" si="114"/>
        <v>0</v>
      </c>
      <c r="BP56" s="258">
        <f t="shared" si="115"/>
        <v>0</v>
      </c>
      <c r="BQ56" s="258"/>
      <c r="BR56" s="258">
        <f t="shared" si="42"/>
        <v>0</v>
      </c>
      <c r="BS56" s="258"/>
      <c r="BT56" s="258">
        <f t="shared" si="114"/>
        <v>0</v>
      </c>
      <c r="BU56" s="258">
        <f t="shared" si="115"/>
        <v>0</v>
      </c>
      <c r="BV56" s="258"/>
      <c r="BW56" s="258">
        <f t="shared" si="45"/>
        <v>0</v>
      </c>
      <c r="BX56" s="258"/>
      <c r="BY56" s="258">
        <f t="shared" si="114"/>
        <v>0</v>
      </c>
      <c r="BZ56" s="258">
        <f t="shared" si="115"/>
        <v>0</v>
      </c>
      <c r="CA56" s="258"/>
      <c r="CB56" s="258">
        <f t="shared" si="48"/>
        <v>0</v>
      </c>
      <c r="CC56" s="258"/>
      <c r="CD56" s="258">
        <f t="shared" si="114"/>
        <v>0</v>
      </c>
      <c r="CE56" s="258">
        <f t="shared" si="115"/>
        <v>0</v>
      </c>
      <c r="CF56" s="258"/>
      <c r="CG56" s="258">
        <f t="shared" si="51"/>
        <v>0</v>
      </c>
      <c r="CH56" s="258"/>
      <c r="CI56" s="258">
        <f t="shared" si="114"/>
        <v>0</v>
      </c>
      <c r="CJ56" s="258">
        <f t="shared" si="115"/>
        <v>0</v>
      </c>
      <c r="CK56" s="258"/>
      <c r="CL56" s="258">
        <f t="shared" si="54"/>
        <v>18.8</v>
      </c>
      <c r="CM56" s="258"/>
      <c r="CN56" s="258">
        <f t="shared" si="114"/>
        <v>-1.2</v>
      </c>
      <c r="CO56" s="258">
        <f t="shared" si="115"/>
        <v>20</v>
      </c>
      <c r="CP56" s="258"/>
      <c r="CQ56" s="258">
        <f t="shared" si="57"/>
        <v>0</v>
      </c>
      <c r="CR56" s="258"/>
      <c r="CS56" s="258">
        <f t="shared" si="114"/>
        <v>0</v>
      </c>
      <c r="CT56" s="258">
        <f t="shared" si="115"/>
        <v>0</v>
      </c>
      <c r="CU56" s="258"/>
      <c r="CV56" s="258">
        <f t="shared" si="60"/>
        <v>0</v>
      </c>
      <c r="CW56" s="258"/>
      <c r="CX56" s="258">
        <f t="shared" si="128"/>
        <v>0</v>
      </c>
      <c r="CY56" s="258">
        <f t="shared" si="129"/>
        <v>0</v>
      </c>
      <c r="CZ56" s="258"/>
      <c r="DA56" s="258">
        <f t="shared" si="63"/>
        <v>0</v>
      </c>
      <c r="DB56" s="258"/>
      <c r="DC56" s="258">
        <f t="shared" si="128"/>
        <v>0</v>
      </c>
      <c r="DD56" s="258">
        <f t="shared" si="129"/>
        <v>0</v>
      </c>
      <c r="DE56" s="258"/>
      <c r="DF56" s="258">
        <f t="shared" si="66"/>
        <v>-5</v>
      </c>
      <c r="DG56" s="258"/>
      <c r="DH56" s="258">
        <f t="shared" si="128"/>
        <v>-5</v>
      </c>
      <c r="DI56" s="258">
        <f t="shared" si="129"/>
        <v>0</v>
      </c>
      <c r="DJ56" s="258"/>
      <c r="DK56" s="258">
        <f t="shared" si="69"/>
        <v>18.399999999999999</v>
      </c>
      <c r="DL56" s="258"/>
      <c r="DM56" s="258">
        <f t="shared" si="128"/>
        <v>-1.6</v>
      </c>
      <c r="DN56" s="258">
        <f t="shared" si="129"/>
        <v>20</v>
      </c>
      <c r="DO56" s="258"/>
      <c r="DP56" s="258">
        <f t="shared" si="72"/>
        <v>0</v>
      </c>
      <c r="DQ56" s="258"/>
      <c r="DR56" s="258">
        <f t="shared" si="128"/>
        <v>0</v>
      </c>
      <c r="DS56" s="258">
        <f t="shared" si="129"/>
        <v>0</v>
      </c>
      <c r="DT56" s="258"/>
      <c r="DU56" s="258"/>
      <c r="DV56" s="258"/>
      <c r="DW56" s="258"/>
      <c r="DX56" s="258"/>
      <c r="DY56" s="258"/>
      <c r="DZ56" s="258"/>
      <c r="EA56" s="258"/>
      <c r="EB56" s="258"/>
      <c r="EC56" s="258"/>
      <c r="FB56" s="258"/>
      <c r="FC56" s="258"/>
      <c r="FD56" s="258"/>
      <c r="FE56" s="258"/>
      <c r="FF56" s="258"/>
      <c r="FG56" s="258"/>
      <c r="FH56" s="258"/>
      <c r="FI56" s="258"/>
      <c r="FK56" s="258"/>
      <c r="FM56" s="310"/>
      <c r="FN56" s="310"/>
      <c r="FO56" s="310"/>
      <c r="FP56" s="310"/>
      <c r="FQ56" s="310"/>
      <c r="FR56" s="310"/>
      <c r="FS56" s="310"/>
      <c r="FT56" s="310"/>
      <c r="FU56" s="126"/>
      <c r="FV56" s="126"/>
      <c r="FW56" s="126"/>
      <c r="FX56" s="126"/>
      <c r="FY56" s="126"/>
      <c r="FZ56" s="126"/>
      <c r="GA56" s="126"/>
      <c r="GB56" s="126"/>
      <c r="GC56" s="126"/>
      <c r="GD56" s="126"/>
    </row>
    <row r="57" spans="2:186" s="118" customFormat="1" ht="13.5" customHeight="1" x14ac:dyDescent="0.2">
      <c r="B57" s="158" t="str">
        <f t="shared" si="138"/>
        <v>SHARMA, Pawan</v>
      </c>
      <c r="C57" s="324"/>
      <c r="D57" s="324"/>
      <c r="E57" s="324"/>
      <c r="F57" s="258"/>
      <c r="G57" s="258"/>
      <c r="H57" s="258"/>
      <c r="I57" s="258"/>
      <c r="J57" s="258"/>
      <c r="K57" s="258"/>
      <c r="L57" s="258"/>
      <c r="M57" s="123"/>
      <c r="N57" s="258"/>
      <c r="O57" s="258"/>
      <c r="P57" s="258"/>
      <c r="Q57" s="330">
        <f t="shared" si="139"/>
        <v>0</v>
      </c>
      <c r="R57" s="258"/>
      <c r="S57" s="330">
        <f t="shared" si="76"/>
        <v>20</v>
      </c>
      <c r="T57" s="258"/>
      <c r="U57" s="258"/>
      <c r="V57" s="258"/>
      <c r="W57" s="258"/>
      <c r="X57" s="122"/>
      <c r="Y57" s="258">
        <f t="shared" si="77"/>
        <v>0</v>
      </c>
      <c r="Z57" s="258"/>
      <c r="AA57" s="258">
        <f t="shared" si="140"/>
        <v>0</v>
      </c>
      <c r="AB57" s="258">
        <f t="shared" si="141"/>
        <v>0</v>
      </c>
      <c r="AC57" s="258"/>
      <c r="AD57" s="258">
        <f t="shared" si="18"/>
        <v>0</v>
      </c>
      <c r="AE57" s="258"/>
      <c r="AF57" s="258">
        <f t="shared" si="100"/>
        <v>0</v>
      </c>
      <c r="AG57" s="258">
        <f t="shared" si="101"/>
        <v>0</v>
      </c>
      <c r="AH57" s="258"/>
      <c r="AI57" s="258">
        <f t="shared" si="21"/>
        <v>0</v>
      </c>
      <c r="AJ57" s="258"/>
      <c r="AK57" s="258">
        <f t="shared" si="100"/>
        <v>0</v>
      </c>
      <c r="AL57" s="258">
        <f t="shared" si="101"/>
        <v>0</v>
      </c>
      <c r="AM57" s="258"/>
      <c r="AN57" s="258">
        <f t="shared" si="24"/>
        <v>0</v>
      </c>
      <c r="AO57" s="258"/>
      <c r="AP57" s="258">
        <f t="shared" si="100"/>
        <v>0</v>
      </c>
      <c r="AQ57" s="258">
        <f t="shared" si="101"/>
        <v>0</v>
      </c>
      <c r="AR57" s="258"/>
      <c r="AS57" s="258">
        <f t="shared" si="27"/>
        <v>0</v>
      </c>
      <c r="AT57" s="258"/>
      <c r="AU57" s="258">
        <f t="shared" si="100"/>
        <v>0</v>
      </c>
      <c r="AV57" s="258">
        <f t="shared" si="101"/>
        <v>0</v>
      </c>
      <c r="AW57" s="258"/>
      <c r="AX57" s="258">
        <f t="shared" si="30"/>
        <v>0</v>
      </c>
      <c r="AY57" s="258"/>
      <c r="AZ57" s="258">
        <f t="shared" si="100"/>
        <v>0</v>
      </c>
      <c r="BA57" s="258">
        <f t="shared" si="101"/>
        <v>0</v>
      </c>
      <c r="BB57" s="258"/>
      <c r="BC57" s="258">
        <f t="shared" si="33"/>
        <v>20</v>
      </c>
      <c r="BD57" s="258"/>
      <c r="BE57" s="258">
        <f t="shared" si="100"/>
        <v>0</v>
      </c>
      <c r="BF57" s="258">
        <f t="shared" si="101"/>
        <v>20</v>
      </c>
      <c r="BG57" s="258"/>
      <c r="BH57" s="258">
        <f t="shared" si="36"/>
        <v>0</v>
      </c>
      <c r="BI57" s="258"/>
      <c r="BJ57" s="258">
        <f t="shared" si="100"/>
        <v>0</v>
      </c>
      <c r="BK57" s="258">
        <f t="shared" si="101"/>
        <v>0</v>
      </c>
      <c r="BL57" s="258"/>
      <c r="BM57" s="258">
        <f t="shared" si="39"/>
        <v>0</v>
      </c>
      <c r="BN57" s="258"/>
      <c r="BO57" s="258">
        <f t="shared" si="114"/>
        <v>0</v>
      </c>
      <c r="BP57" s="258">
        <f t="shared" si="115"/>
        <v>0</v>
      </c>
      <c r="BQ57" s="258"/>
      <c r="BR57" s="258">
        <f t="shared" si="42"/>
        <v>0</v>
      </c>
      <c r="BS57" s="258"/>
      <c r="BT57" s="258">
        <f t="shared" si="114"/>
        <v>0</v>
      </c>
      <c r="BU57" s="258">
        <f t="shared" si="115"/>
        <v>0</v>
      </c>
      <c r="BV57" s="258"/>
      <c r="BW57" s="258">
        <f t="shared" si="45"/>
        <v>0</v>
      </c>
      <c r="BX57" s="258"/>
      <c r="BY57" s="258">
        <f t="shared" si="114"/>
        <v>0</v>
      </c>
      <c r="BZ57" s="258">
        <f t="shared" si="115"/>
        <v>0</v>
      </c>
      <c r="CA57" s="258"/>
      <c r="CB57" s="258">
        <f t="shared" si="48"/>
        <v>0</v>
      </c>
      <c r="CC57" s="258"/>
      <c r="CD57" s="258">
        <f t="shared" si="114"/>
        <v>0</v>
      </c>
      <c r="CE57" s="258">
        <f t="shared" si="115"/>
        <v>0</v>
      </c>
      <c r="CF57" s="258"/>
      <c r="CG57" s="258">
        <f t="shared" si="51"/>
        <v>0</v>
      </c>
      <c r="CH57" s="258"/>
      <c r="CI57" s="258">
        <f t="shared" si="114"/>
        <v>0</v>
      </c>
      <c r="CJ57" s="258">
        <f t="shared" si="115"/>
        <v>0</v>
      </c>
      <c r="CK57" s="258"/>
      <c r="CL57" s="258">
        <f t="shared" si="54"/>
        <v>0</v>
      </c>
      <c r="CM57" s="258"/>
      <c r="CN57" s="258">
        <f t="shared" si="114"/>
        <v>0</v>
      </c>
      <c r="CO57" s="258">
        <f t="shared" si="115"/>
        <v>0</v>
      </c>
      <c r="CP57" s="258"/>
      <c r="CQ57" s="258">
        <f t="shared" si="57"/>
        <v>0</v>
      </c>
      <c r="CR57" s="258"/>
      <c r="CS57" s="258">
        <f t="shared" si="114"/>
        <v>0</v>
      </c>
      <c r="CT57" s="258">
        <f t="shared" si="115"/>
        <v>0</v>
      </c>
      <c r="CU57" s="258"/>
      <c r="CV57" s="258">
        <f t="shared" si="60"/>
        <v>0</v>
      </c>
      <c r="CW57" s="258"/>
      <c r="CX57" s="258">
        <f t="shared" si="128"/>
        <v>0</v>
      </c>
      <c r="CY57" s="258">
        <f t="shared" si="129"/>
        <v>0</v>
      </c>
      <c r="CZ57" s="258"/>
      <c r="DA57" s="258">
        <f t="shared" si="63"/>
        <v>0</v>
      </c>
      <c r="DB57" s="258"/>
      <c r="DC57" s="258">
        <f t="shared" si="128"/>
        <v>0</v>
      </c>
      <c r="DD57" s="258">
        <f t="shared" si="129"/>
        <v>0</v>
      </c>
      <c r="DE57" s="258"/>
      <c r="DF57" s="258">
        <f t="shared" si="66"/>
        <v>0</v>
      </c>
      <c r="DG57" s="258"/>
      <c r="DH57" s="258">
        <f t="shared" si="128"/>
        <v>0</v>
      </c>
      <c r="DI57" s="258">
        <f t="shared" si="129"/>
        <v>0</v>
      </c>
      <c r="DJ57" s="258"/>
      <c r="DK57" s="258">
        <f t="shared" si="69"/>
        <v>0</v>
      </c>
      <c r="DL57" s="258"/>
      <c r="DM57" s="258">
        <f t="shared" si="128"/>
        <v>0</v>
      </c>
      <c r="DN57" s="258">
        <f t="shared" si="129"/>
        <v>0</v>
      </c>
      <c r="DO57" s="258"/>
      <c r="DP57" s="258">
        <f t="shared" si="72"/>
        <v>0</v>
      </c>
      <c r="DQ57" s="258"/>
      <c r="DR57" s="258">
        <f t="shared" si="128"/>
        <v>0</v>
      </c>
      <c r="DS57" s="258">
        <f t="shared" si="129"/>
        <v>0</v>
      </c>
      <c r="DT57" s="258"/>
      <c r="DU57" s="258"/>
      <c r="DV57" s="258"/>
      <c r="DW57" s="258"/>
      <c r="DX57" s="258"/>
      <c r="DY57" s="258"/>
      <c r="DZ57" s="258"/>
      <c r="EA57" s="258"/>
      <c r="EB57" s="258"/>
      <c r="EC57" s="258"/>
      <c r="FB57" s="258"/>
      <c r="FC57" s="258"/>
      <c r="FD57" s="258"/>
      <c r="FE57" s="258"/>
      <c r="FF57" s="258"/>
      <c r="FG57" s="258"/>
      <c r="FH57" s="258"/>
      <c r="FI57" s="258"/>
      <c r="FK57" s="258"/>
      <c r="FM57" s="310"/>
      <c r="FN57" s="310"/>
      <c r="FO57" s="310"/>
      <c r="FP57" s="310"/>
      <c r="FQ57" s="310"/>
      <c r="FR57" s="310"/>
      <c r="FS57" s="310"/>
      <c r="FT57" s="310"/>
      <c r="FU57" s="126"/>
      <c r="FV57" s="126"/>
      <c r="FW57" s="126"/>
      <c r="FX57" s="126"/>
      <c r="FY57" s="126"/>
      <c r="FZ57" s="126"/>
      <c r="GA57" s="126"/>
      <c r="GB57" s="126"/>
      <c r="GC57" s="126"/>
      <c r="GD57" s="126"/>
    </row>
    <row r="58" spans="2:186" s="118" customFormat="1" ht="13.5" customHeight="1" x14ac:dyDescent="0.2">
      <c r="B58" s="158" t="str">
        <f>+B28</f>
        <v>WARNER, Kupa</v>
      </c>
      <c r="C58" s="324"/>
      <c r="D58" s="324"/>
      <c r="E58" s="324"/>
      <c r="F58" s="258"/>
      <c r="G58" s="258"/>
      <c r="H58" s="258"/>
      <c r="I58" s="258"/>
      <c r="J58" s="258"/>
      <c r="K58" s="258"/>
      <c r="L58" s="258"/>
      <c r="M58" s="123"/>
      <c r="N58" s="258"/>
      <c r="O58" s="258"/>
      <c r="P58" s="258"/>
      <c r="Q58" s="330">
        <f t="shared" si="139"/>
        <v>0</v>
      </c>
      <c r="R58" s="258"/>
      <c r="S58" s="330">
        <f t="shared" si="76"/>
        <v>18.2</v>
      </c>
      <c r="T58" s="258"/>
      <c r="U58" s="258"/>
      <c r="V58" s="258"/>
      <c r="W58" s="258"/>
      <c r="X58" s="122"/>
      <c r="Y58" s="258">
        <f t="shared" si="77"/>
        <v>0</v>
      </c>
      <c r="Z58" s="258"/>
      <c r="AA58" s="258">
        <f t="shared" si="140"/>
        <v>0</v>
      </c>
      <c r="AB58" s="258">
        <f t="shared" si="141"/>
        <v>0</v>
      </c>
      <c r="AC58" s="258"/>
      <c r="AD58" s="258">
        <f t="shared" si="18"/>
        <v>0</v>
      </c>
      <c r="AE58" s="258"/>
      <c r="AF58" s="258">
        <f t="shared" si="100"/>
        <v>0</v>
      </c>
      <c r="AG58" s="258">
        <f t="shared" si="101"/>
        <v>0</v>
      </c>
      <c r="AH58" s="258"/>
      <c r="AI58" s="258">
        <f t="shared" si="21"/>
        <v>0</v>
      </c>
      <c r="AJ58" s="258"/>
      <c r="AK58" s="258">
        <f t="shared" si="100"/>
        <v>0</v>
      </c>
      <c r="AL58" s="258">
        <f t="shared" si="101"/>
        <v>0</v>
      </c>
      <c r="AM58" s="258"/>
      <c r="AN58" s="258">
        <f t="shared" si="24"/>
        <v>0</v>
      </c>
      <c r="AO58" s="258"/>
      <c r="AP58" s="258">
        <f t="shared" si="100"/>
        <v>0</v>
      </c>
      <c r="AQ58" s="258">
        <f t="shared" si="101"/>
        <v>0</v>
      </c>
      <c r="AR58" s="258"/>
      <c r="AS58" s="258">
        <f t="shared" si="27"/>
        <v>0</v>
      </c>
      <c r="AT58" s="258"/>
      <c r="AU58" s="258">
        <f t="shared" si="100"/>
        <v>0</v>
      </c>
      <c r="AV58" s="258">
        <f t="shared" si="101"/>
        <v>0</v>
      </c>
      <c r="AW58" s="258"/>
      <c r="AX58" s="258">
        <f t="shared" si="30"/>
        <v>0</v>
      </c>
      <c r="AY58" s="258"/>
      <c r="AZ58" s="258">
        <f t="shared" si="100"/>
        <v>0</v>
      </c>
      <c r="BA58" s="258">
        <f t="shared" si="101"/>
        <v>0</v>
      </c>
      <c r="BB58" s="258"/>
      <c r="BC58" s="258">
        <f t="shared" si="33"/>
        <v>0</v>
      </c>
      <c r="BD58" s="258"/>
      <c r="BE58" s="258">
        <f t="shared" si="100"/>
        <v>0</v>
      </c>
      <c r="BF58" s="258">
        <f t="shared" si="101"/>
        <v>0</v>
      </c>
      <c r="BG58" s="258"/>
      <c r="BH58" s="258">
        <f t="shared" si="36"/>
        <v>0</v>
      </c>
      <c r="BI58" s="258"/>
      <c r="BJ58" s="258">
        <f t="shared" si="100"/>
        <v>0</v>
      </c>
      <c r="BK58" s="258">
        <f t="shared" si="101"/>
        <v>0</v>
      </c>
      <c r="BL58" s="258"/>
      <c r="BM58" s="258">
        <f t="shared" si="39"/>
        <v>0</v>
      </c>
      <c r="BN58" s="258"/>
      <c r="BO58" s="258">
        <f t="shared" si="114"/>
        <v>0</v>
      </c>
      <c r="BP58" s="258">
        <f t="shared" si="115"/>
        <v>0</v>
      </c>
      <c r="BQ58" s="258"/>
      <c r="BR58" s="258">
        <f t="shared" si="42"/>
        <v>18.2</v>
      </c>
      <c r="BS58" s="258"/>
      <c r="BT58" s="258">
        <f t="shared" si="114"/>
        <v>-1.8</v>
      </c>
      <c r="BU58" s="258">
        <f t="shared" si="115"/>
        <v>20</v>
      </c>
      <c r="BV58" s="258"/>
      <c r="BW58" s="258">
        <f t="shared" si="45"/>
        <v>0</v>
      </c>
      <c r="BX58" s="258"/>
      <c r="BY58" s="258">
        <f t="shared" si="114"/>
        <v>0</v>
      </c>
      <c r="BZ58" s="258">
        <f t="shared" si="115"/>
        <v>0</v>
      </c>
      <c r="CA58" s="258"/>
      <c r="CB58" s="258">
        <f t="shared" si="48"/>
        <v>0</v>
      </c>
      <c r="CC58" s="258"/>
      <c r="CD58" s="258">
        <f t="shared" si="114"/>
        <v>0</v>
      </c>
      <c r="CE58" s="258">
        <f t="shared" si="115"/>
        <v>0</v>
      </c>
      <c r="CF58" s="258"/>
      <c r="CG58" s="258">
        <f t="shared" si="51"/>
        <v>0</v>
      </c>
      <c r="CH58" s="258"/>
      <c r="CI58" s="258">
        <f t="shared" si="114"/>
        <v>0</v>
      </c>
      <c r="CJ58" s="258">
        <f t="shared" si="115"/>
        <v>0</v>
      </c>
      <c r="CK58" s="258"/>
      <c r="CL58" s="258">
        <f t="shared" si="54"/>
        <v>0</v>
      </c>
      <c r="CM58" s="258"/>
      <c r="CN58" s="258">
        <f t="shared" si="114"/>
        <v>0</v>
      </c>
      <c r="CO58" s="258">
        <f t="shared" si="115"/>
        <v>0</v>
      </c>
      <c r="CP58" s="258"/>
      <c r="CQ58" s="258">
        <f t="shared" si="57"/>
        <v>0</v>
      </c>
      <c r="CR58" s="258"/>
      <c r="CS58" s="258">
        <f t="shared" si="114"/>
        <v>0</v>
      </c>
      <c r="CT58" s="258">
        <f t="shared" si="115"/>
        <v>0</v>
      </c>
      <c r="CU58" s="258"/>
      <c r="CV58" s="258">
        <f t="shared" si="60"/>
        <v>0</v>
      </c>
      <c r="CW58" s="258"/>
      <c r="CX58" s="258">
        <f t="shared" si="128"/>
        <v>0</v>
      </c>
      <c r="CY58" s="258">
        <f t="shared" si="129"/>
        <v>0</v>
      </c>
      <c r="CZ58" s="258"/>
      <c r="DA58" s="258">
        <f t="shared" si="63"/>
        <v>0</v>
      </c>
      <c r="DB58" s="258"/>
      <c r="DC58" s="258">
        <f t="shared" si="128"/>
        <v>0</v>
      </c>
      <c r="DD58" s="258">
        <f t="shared" si="129"/>
        <v>0</v>
      </c>
      <c r="DE58" s="258"/>
      <c r="DF58" s="258">
        <f t="shared" si="66"/>
        <v>0</v>
      </c>
      <c r="DG58" s="258"/>
      <c r="DH58" s="258">
        <f t="shared" si="128"/>
        <v>0</v>
      </c>
      <c r="DI58" s="258">
        <f t="shared" si="129"/>
        <v>0</v>
      </c>
      <c r="DJ58" s="258"/>
      <c r="DK58" s="258">
        <f t="shared" si="69"/>
        <v>0</v>
      </c>
      <c r="DL58" s="258"/>
      <c r="DM58" s="258">
        <f t="shared" si="128"/>
        <v>0</v>
      </c>
      <c r="DN58" s="258">
        <f t="shared" si="129"/>
        <v>0</v>
      </c>
      <c r="DO58" s="258"/>
      <c r="DP58" s="258">
        <f t="shared" si="72"/>
        <v>0</v>
      </c>
      <c r="DQ58" s="258"/>
      <c r="DR58" s="258">
        <f t="shared" si="128"/>
        <v>0</v>
      </c>
      <c r="DS58" s="258">
        <f t="shared" si="129"/>
        <v>0</v>
      </c>
      <c r="DT58" s="258"/>
      <c r="DU58" s="258"/>
      <c r="DV58" s="258"/>
      <c r="DW58" s="258"/>
      <c r="DX58" s="258"/>
      <c r="DY58" s="258"/>
      <c r="DZ58" s="258"/>
      <c r="EA58" s="258"/>
      <c r="EB58" s="258"/>
      <c r="EC58" s="258"/>
      <c r="FB58" s="258"/>
      <c r="FC58" s="258"/>
      <c r="FD58" s="258"/>
      <c r="FE58" s="258"/>
      <c r="FF58" s="258"/>
      <c r="FG58" s="258"/>
      <c r="FH58" s="258"/>
      <c r="FI58" s="258"/>
      <c r="FK58" s="258"/>
      <c r="FM58" s="310"/>
      <c r="FN58" s="310"/>
      <c r="FO58" s="310"/>
      <c r="FP58" s="310"/>
      <c r="FQ58" s="310"/>
      <c r="FR58" s="310"/>
      <c r="FS58" s="310"/>
      <c r="FT58" s="310"/>
      <c r="FU58" s="126"/>
      <c r="FV58" s="126"/>
      <c r="FW58" s="126"/>
      <c r="FX58" s="126"/>
      <c r="FY58" s="126"/>
      <c r="FZ58" s="126"/>
      <c r="GA58" s="126"/>
      <c r="GB58" s="126"/>
      <c r="GC58" s="126"/>
      <c r="GD58" s="126"/>
    </row>
    <row r="59" spans="2:186" s="118" customFormat="1" ht="13.5" customHeight="1" x14ac:dyDescent="0.2">
      <c r="B59" s="158" t="str">
        <f t="shared" si="138"/>
        <v>BLACKMAN, Dave</v>
      </c>
      <c r="C59" s="324"/>
      <c r="D59" s="324"/>
      <c r="E59" s="324"/>
      <c r="F59" s="258"/>
      <c r="G59" s="258"/>
      <c r="H59" s="258"/>
      <c r="I59" s="258"/>
      <c r="J59" s="258"/>
      <c r="K59" s="258"/>
      <c r="L59" s="258"/>
      <c r="M59" s="123"/>
      <c r="N59" s="258"/>
      <c r="O59" s="258"/>
      <c r="P59" s="258"/>
      <c r="Q59" s="330">
        <f t="shared" si="139"/>
        <v>0</v>
      </c>
      <c r="R59" s="258"/>
      <c r="S59" s="330">
        <f t="shared" si="76"/>
        <v>-8.8000000000000007</v>
      </c>
      <c r="T59" s="258"/>
      <c r="U59" s="258"/>
      <c r="V59" s="258"/>
      <c r="W59" s="258"/>
      <c r="X59" s="122"/>
      <c r="Y59" s="258">
        <f t="shared" si="77"/>
        <v>0</v>
      </c>
      <c r="Z59" s="258"/>
      <c r="AA59" s="258">
        <f t="shared" si="140"/>
        <v>0</v>
      </c>
      <c r="AB59" s="258">
        <f t="shared" si="141"/>
        <v>0</v>
      </c>
      <c r="AC59" s="258"/>
      <c r="AD59" s="258">
        <f t="shared" si="18"/>
        <v>0</v>
      </c>
      <c r="AE59" s="258"/>
      <c r="AF59" s="258">
        <f t="shared" si="100"/>
        <v>0</v>
      </c>
      <c r="AG59" s="258">
        <f t="shared" si="101"/>
        <v>0</v>
      </c>
      <c r="AH59" s="258"/>
      <c r="AI59" s="258">
        <f t="shared" si="21"/>
        <v>0</v>
      </c>
      <c r="AJ59" s="258"/>
      <c r="AK59" s="258">
        <f t="shared" si="100"/>
        <v>0</v>
      </c>
      <c r="AL59" s="258">
        <f t="shared" si="101"/>
        <v>0</v>
      </c>
      <c r="AM59" s="258"/>
      <c r="AN59" s="258">
        <f t="shared" si="24"/>
        <v>-8.8000000000000007</v>
      </c>
      <c r="AO59" s="258"/>
      <c r="AP59" s="258">
        <f t="shared" si="100"/>
        <v>-8.8000000000000007</v>
      </c>
      <c r="AQ59" s="258">
        <f t="shared" si="101"/>
        <v>0</v>
      </c>
      <c r="AR59" s="258"/>
      <c r="AS59" s="258">
        <f t="shared" si="27"/>
        <v>0</v>
      </c>
      <c r="AT59" s="258"/>
      <c r="AU59" s="258">
        <f t="shared" si="100"/>
        <v>0</v>
      </c>
      <c r="AV59" s="258">
        <f t="shared" si="101"/>
        <v>0</v>
      </c>
      <c r="AW59" s="258"/>
      <c r="AX59" s="258">
        <f t="shared" si="30"/>
        <v>0</v>
      </c>
      <c r="AY59" s="258"/>
      <c r="AZ59" s="258">
        <f t="shared" si="100"/>
        <v>0</v>
      </c>
      <c r="BA59" s="258">
        <f t="shared" si="101"/>
        <v>0</v>
      </c>
      <c r="BB59" s="258"/>
      <c r="BC59" s="258">
        <f t="shared" si="33"/>
        <v>0</v>
      </c>
      <c r="BD59" s="258"/>
      <c r="BE59" s="258">
        <f t="shared" si="100"/>
        <v>0</v>
      </c>
      <c r="BF59" s="258">
        <f t="shared" si="101"/>
        <v>0</v>
      </c>
      <c r="BG59" s="258"/>
      <c r="BH59" s="258">
        <f t="shared" si="36"/>
        <v>0</v>
      </c>
      <c r="BI59" s="258"/>
      <c r="BJ59" s="258">
        <f t="shared" si="100"/>
        <v>0</v>
      </c>
      <c r="BK59" s="258">
        <f t="shared" si="101"/>
        <v>0</v>
      </c>
      <c r="BL59" s="258"/>
      <c r="BM59" s="258">
        <f t="shared" si="39"/>
        <v>0</v>
      </c>
      <c r="BN59" s="258"/>
      <c r="BO59" s="258">
        <f t="shared" si="114"/>
        <v>0</v>
      </c>
      <c r="BP59" s="258">
        <f t="shared" si="115"/>
        <v>0</v>
      </c>
      <c r="BQ59" s="258"/>
      <c r="BR59" s="258">
        <f t="shared" si="42"/>
        <v>0</v>
      </c>
      <c r="BS59" s="258"/>
      <c r="BT59" s="258">
        <f t="shared" si="114"/>
        <v>0</v>
      </c>
      <c r="BU59" s="258">
        <f t="shared" si="115"/>
        <v>0</v>
      </c>
      <c r="BV59" s="258"/>
      <c r="BW59" s="258">
        <f t="shared" si="45"/>
        <v>0</v>
      </c>
      <c r="BX59" s="258"/>
      <c r="BY59" s="258">
        <f t="shared" si="114"/>
        <v>0</v>
      </c>
      <c r="BZ59" s="258">
        <f t="shared" si="115"/>
        <v>0</v>
      </c>
      <c r="CA59" s="258"/>
      <c r="CB59" s="258">
        <f t="shared" si="48"/>
        <v>0</v>
      </c>
      <c r="CC59" s="258"/>
      <c r="CD59" s="258">
        <f t="shared" si="114"/>
        <v>0</v>
      </c>
      <c r="CE59" s="258">
        <f t="shared" si="115"/>
        <v>0</v>
      </c>
      <c r="CF59" s="258"/>
      <c r="CG59" s="258">
        <f t="shared" si="51"/>
        <v>0</v>
      </c>
      <c r="CH59" s="258"/>
      <c r="CI59" s="258">
        <f t="shared" si="114"/>
        <v>0</v>
      </c>
      <c r="CJ59" s="258">
        <f t="shared" si="115"/>
        <v>0</v>
      </c>
      <c r="CK59" s="258"/>
      <c r="CL59" s="258">
        <f t="shared" si="54"/>
        <v>0</v>
      </c>
      <c r="CM59" s="258"/>
      <c r="CN59" s="258">
        <f t="shared" si="114"/>
        <v>0</v>
      </c>
      <c r="CO59" s="258">
        <f t="shared" si="115"/>
        <v>0</v>
      </c>
      <c r="CP59" s="258"/>
      <c r="CQ59" s="258">
        <f t="shared" si="57"/>
        <v>0</v>
      </c>
      <c r="CR59" s="258"/>
      <c r="CS59" s="258">
        <f t="shared" si="114"/>
        <v>0</v>
      </c>
      <c r="CT59" s="258">
        <f t="shared" si="115"/>
        <v>0</v>
      </c>
      <c r="CU59" s="258"/>
      <c r="CV59" s="258">
        <f t="shared" si="60"/>
        <v>0</v>
      </c>
      <c r="CW59" s="258"/>
      <c r="CX59" s="258">
        <f t="shared" si="128"/>
        <v>0</v>
      </c>
      <c r="CY59" s="258">
        <f t="shared" si="129"/>
        <v>0</v>
      </c>
      <c r="CZ59" s="258"/>
      <c r="DA59" s="258">
        <f t="shared" si="63"/>
        <v>0</v>
      </c>
      <c r="DB59" s="258"/>
      <c r="DC59" s="258">
        <f t="shared" si="128"/>
        <v>0</v>
      </c>
      <c r="DD59" s="258">
        <f t="shared" si="129"/>
        <v>0</v>
      </c>
      <c r="DE59" s="258"/>
      <c r="DF59" s="258">
        <f t="shared" si="66"/>
        <v>0</v>
      </c>
      <c r="DG59" s="258"/>
      <c r="DH59" s="258">
        <f t="shared" si="128"/>
        <v>0</v>
      </c>
      <c r="DI59" s="258">
        <f t="shared" si="129"/>
        <v>0</v>
      </c>
      <c r="DJ59" s="258"/>
      <c r="DK59" s="258">
        <f t="shared" si="69"/>
        <v>0</v>
      </c>
      <c r="DL59" s="258"/>
      <c r="DM59" s="258">
        <f t="shared" si="128"/>
        <v>0</v>
      </c>
      <c r="DN59" s="258">
        <f t="shared" si="129"/>
        <v>0</v>
      </c>
      <c r="DO59" s="258"/>
      <c r="DP59" s="258">
        <f t="shared" si="72"/>
        <v>0</v>
      </c>
      <c r="DQ59" s="258"/>
      <c r="DR59" s="258">
        <f t="shared" si="128"/>
        <v>0</v>
      </c>
      <c r="DS59" s="258">
        <f t="shared" si="129"/>
        <v>0</v>
      </c>
      <c r="DT59" s="258"/>
      <c r="DU59" s="258"/>
      <c r="DV59" s="258"/>
      <c r="DW59" s="258"/>
      <c r="DX59" s="258"/>
      <c r="DY59" s="258"/>
      <c r="DZ59" s="258"/>
      <c r="EA59" s="258"/>
      <c r="EB59" s="258"/>
      <c r="EC59" s="258"/>
      <c r="FB59" s="258"/>
      <c r="FC59" s="258"/>
      <c r="FD59" s="258"/>
      <c r="FE59" s="258"/>
      <c r="FF59" s="258"/>
      <c r="FG59" s="258"/>
      <c r="FH59" s="258"/>
      <c r="FI59" s="258"/>
      <c r="FK59" s="258"/>
      <c r="FM59" s="310"/>
      <c r="FN59" s="310"/>
      <c r="FO59" s="310"/>
      <c r="FP59" s="310"/>
      <c r="FQ59" s="310"/>
      <c r="FR59" s="310"/>
      <c r="FS59" s="310"/>
      <c r="FT59" s="310"/>
      <c r="FU59" s="126"/>
      <c r="FV59" s="126"/>
      <c r="FW59" s="126"/>
      <c r="FX59" s="126"/>
      <c r="FY59" s="126"/>
      <c r="FZ59" s="126"/>
      <c r="GA59" s="126"/>
      <c r="GB59" s="126"/>
      <c r="GC59" s="126"/>
      <c r="GD59" s="126"/>
    </row>
    <row r="60" spans="2:186" s="118" customFormat="1" ht="13.5" customHeight="1" x14ac:dyDescent="0.2">
      <c r="B60" s="158" t="str">
        <f t="shared" si="138"/>
        <v>CO-OP, Lenard</v>
      </c>
      <c r="C60" s="324"/>
      <c r="D60" s="324"/>
      <c r="E60" s="324"/>
      <c r="F60" s="258"/>
      <c r="G60" s="258"/>
      <c r="H60" s="258"/>
      <c r="I60" s="258"/>
      <c r="J60" s="258"/>
      <c r="K60" s="258"/>
      <c r="L60" s="258"/>
      <c r="M60" s="123"/>
      <c r="N60" s="258"/>
      <c r="O60" s="258"/>
      <c r="P60" s="258"/>
      <c r="Q60" s="330">
        <f t="shared" si="139"/>
        <v>0</v>
      </c>
      <c r="R60" s="258"/>
      <c r="S60" s="330">
        <f t="shared" si="76"/>
        <v>-2.4</v>
      </c>
      <c r="T60" s="258"/>
      <c r="U60" s="258"/>
      <c r="V60" s="258"/>
      <c r="W60" s="258"/>
      <c r="X60" s="122"/>
      <c r="Y60" s="258">
        <f t="shared" si="77"/>
        <v>0</v>
      </c>
      <c r="Z60" s="258"/>
      <c r="AA60" s="258">
        <f t="shared" si="140"/>
        <v>0</v>
      </c>
      <c r="AB60" s="258">
        <f t="shared" si="141"/>
        <v>0</v>
      </c>
      <c r="AC60" s="258"/>
      <c r="AD60" s="258">
        <f t="shared" si="18"/>
        <v>0</v>
      </c>
      <c r="AE60" s="258"/>
      <c r="AF60" s="258">
        <f t="shared" ref="AF60:CN66" si="142">-AF30/5</f>
        <v>0</v>
      </c>
      <c r="AG60" s="258">
        <f t="shared" ref="AG60:CO66" si="143">AG30*20</f>
        <v>0</v>
      </c>
      <c r="AH60" s="258"/>
      <c r="AI60" s="258">
        <f t="shared" si="21"/>
        <v>0</v>
      </c>
      <c r="AJ60" s="258"/>
      <c r="AK60" s="258">
        <f t="shared" si="142"/>
        <v>0</v>
      </c>
      <c r="AL60" s="258">
        <f t="shared" si="143"/>
        <v>0</v>
      </c>
      <c r="AM60" s="258"/>
      <c r="AN60" s="258">
        <f t="shared" si="24"/>
        <v>0</v>
      </c>
      <c r="AO60" s="258"/>
      <c r="AP60" s="258">
        <f t="shared" si="142"/>
        <v>0</v>
      </c>
      <c r="AQ60" s="258">
        <f t="shared" si="143"/>
        <v>0</v>
      </c>
      <c r="AR60" s="258"/>
      <c r="AS60" s="258">
        <f t="shared" si="27"/>
        <v>0</v>
      </c>
      <c r="AT60" s="258"/>
      <c r="AU60" s="258">
        <f t="shared" si="142"/>
        <v>0</v>
      </c>
      <c r="AV60" s="258">
        <f t="shared" si="143"/>
        <v>0</v>
      </c>
      <c r="AW60" s="258"/>
      <c r="AX60" s="258">
        <f t="shared" si="30"/>
        <v>0</v>
      </c>
      <c r="AY60" s="258"/>
      <c r="AZ60" s="258">
        <f t="shared" si="142"/>
        <v>0</v>
      </c>
      <c r="BA60" s="258">
        <f t="shared" si="143"/>
        <v>0</v>
      </c>
      <c r="BB60" s="258"/>
      <c r="BC60" s="258">
        <f t="shared" si="33"/>
        <v>0</v>
      </c>
      <c r="BD60" s="258"/>
      <c r="BE60" s="258">
        <f t="shared" si="142"/>
        <v>0</v>
      </c>
      <c r="BF60" s="258">
        <f t="shared" si="143"/>
        <v>0</v>
      </c>
      <c r="BG60" s="258"/>
      <c r="BH60" s="258">
        <f t="shared" si="36"/>
        <v>-2.4</v>
      </c>
      <c r="BI60" s="258"/>
      <c r="BJ60" s="258">
        <f t="shared" si="142"/>
        <v>-2.4</v>
      </c>
      <c r="BK60" s="258">
        <f t="shared" si="143"/>
        <v>0</v>
      </c>
      <c r="BL60" s="258"/>
      <c r="BM60" s="258">
        <f t="shared" si="39"/>
        <v>0</v>
      </c>
      <c r="BN60" s="258"/>
      <c r="BO60" s="258">
        <f t="shared" si="142"/>
        <v>0</v>
      </c>
      <c r="BP60" s="258">
        <f t="shared" si="143"/>
        <v>0</v>
      </c>
      <c r="BQ60" s="258"/>
      <c r="BR60" s="258">
        <f t="shared" si="42"/>
        <v>0</v>
      </c>
      <c r="BS60" s="258"/>
      <c r="BT60" s="258">
        <f t="shared" si="142"/>
        <v>0</v>
      </c>
      <c r="BU60" s="258">
        <f t="shared" si="143"/>
        <v>0</v>
      </c>
      <c r="BV60" s="258"/>
      <c r="BW60" s="258">
        <f t="shared" si="45"/>
        <v>0</v>
      </c>
      <c r="BX60" s="258"/>
      <c r="BY60" s="258">
        <f t="shared" si="142"/>
        <v>0</v>
      </c>
      <c r="BZ60" s="258">
        <f t="shared" si="143"/>
        <v>0</v>
      </c>
      <c r="CA60" s="258"/>
      <c r="CB60" s="258">
        <f t="shared" si="48"/>
        <v>0</v>
      </c>
      <c r="CC60" s="258"/>
      <c r="CD60" s="258">
        <f t="shared" si="142"/>
        <v>0</v>
      </c>
      <c r="CE60" s="258">
        <f t="shared" si="143"/>
        <v>0</v>
      </c>
      <c r="CF60" s="258"/>
      <c r="CG60" s="258">
        <f t="shared" si="51"/>
        <v>0</v>
      </c>
      <c r="CH60" s="258"/>
      <c r="CI60" s="258">
        <f t="shared" si="142"/>
        <v>0</v>
      </c>
      <c r="CJ60" s="258">
        <f t="shared" si="143"/>
        <v>0</v>
      </c>
      <c r="CK60" s="258"/>
      <c r="CL60" s="258">
        <f t="shared" si="54"/>
        <v>0</v>
      </c>
      <c r="CM60" s="258"/>
      <c r="CN60" s="258">
        <f t="shared" si="142"/>
        <v>0</v>
      </c>
      <c r="CO60" s="258">
        <f t="shared" si="143"/>
        <v>0</v>
      </c>
      <c r="CP60" s="258"/>
      <c r="CQ60" s="258">
        <f t="shared" si="57"/>
        <v>0</v>
      </c>
      <c r="CR60" s="258"/>
      <c r="CS60" s="258">
        <f t="shared" ref="CS60:DR66" si="144">-CS30/5</f>
        <v>0</v>
      </c>
      <c r="CT60" s="258">
        <f t="shared" ref="CT60:DS66" si="145">CT30*20</f>
        <v>0</v>
      </c>
      <c r="CU60" s="258"/>
      <c r="CV60" s="258">
        <f t="shared" si="60"/>
        <v>0</v>
      </c>
      <c r="CW60" s="258"/>
      <c r="CX60" s="258">
        <f t="shared" si="144"/>
        <v>0</v>
      </c>
      <c r="CY60" s="258">
        <f t="shared" si="145"/>
        <v>0</v>
      </c>
      <c r="CZ60" s="258"/>
      <c r="DA60" s="258">
        <f t="shared" si="63"/>
        <v>0</v>
      </c>
      <c r="DB60" s="258"/>
      <c r="DC60" s="258">
        <f t="shared" si="144"/>
        <v>0</v>
      </c>
      <c r="DD60" s="258">
        <f t="shared" si="145"/>
        <v>0</v>
      </c>
      <c r="DE60" s="258"/>
      <c r="DF60" s="258">
        <f t="shared" si="66"/>
        <v>0</v>
      </c>
      <c r="DG60" s="258"/>
      <c r="DH60" s="258">
        <f t="shared" si="144"/>
        <v>0</v>
      </c>
      <c r="DI60" s="258">
        <f t="shared" si="145"/>
        <v>0</v>
      </c>
      <c r="DJ60" s="258"/>
      <c r="DK60" s="258">
        <f t="shared" si="69"/>
        <v>0</v>
      </c>
      <c r="DL60" s="258"/>
      <c r="DM60" s="258">
        <f t="shared" si="144"/>
        <v>0</v>
      </c>
      <c r="DN60" s="258">
        <f t="shared" si="145"/>
        <v>0</v>
      </c>
      <c r="DO60" s="258"/>
      <c r="DP60" s="258">
        <f t="shared" si="72"/>
        <v>0</v>
      </c>
      <c r="DQ60" s="258"/>
      <c r="DR60" s="258">
        <f t="shared" si="144"/>
        <v>0</v>
      </c>
      <c r="DS60" s="258">
        <f t="shared" si="145"/>
        <v>0</v>
      </c>
      <c r="DT60" s="258"/>
      <c r="DU60" s="258"/>
      <c r="DV60" s="258"/>
      <c r="DW60" s="258"/>
      <c r="DX60" s="258"/>
      <c r="DY60" s="258"/>
      <c r="DZ60" s="258"/>
      <c r="EA60" s="258"/>
      <c r="EB60" s="258"/>
      <c r="EC60" s="258"/>
      <c r="FB60" s="258"/>
      <c r="FC60" s="258"/>
      <c r="FD60" s="258"/>
      <c r="FE60" s="258"/>
      <c r="FF60" s="258"/>
      <c r="FG60" s="258"/>
      <c r="FH60" s="258"/>
      <c r="FI60" s="258"/>
      <c r="FK60" s="258"/>
      <c r="FM60" s="310"/>
      <c r="FN60" s="310"/>
      <c r="FO60" s="310"/>
      <c r="FP60" s="310"/>
      <c r="FQ60" s="310"/>
      <c r="FR60" s="310"/>
      <c r="FS60" s="310"/>
      <c r="FT60" s="310"/>
      <c r="FU60" s="126"/>
      <c r="FV60" s="126"/>
      <c r="FW60" s="126"/>
      <c r="FX60" s="126"/>
      <c r="FY60" s="126"/>
      <c r="FZ60" s="126"/>
      <c r="GA60" s="126"/>
      <c r="GB60" s="126"/>
      <c r="GC60" s="126"/>
      <c r="GD60" s="126"/>
    </row>
    <row r="61" spans="2:186" s="118" customFormat="1" ht="13.5" customHeight="1" x14ac:dyDescent="0.2">
      <c r="B61" s="158" t="str">
        <f t="shared" si="138"/>
        <v>SHELDON, Mike</v>
      </c>
      <c r="C61" s="324"/>
      <c r="D61" s="324"/>
      <c r="E61" s="324"/>
      <c r="F61" s="258"/>
      <c r="G61" s="258"/>
      <c r="H61" s="258"/>
      <c r="I61" s="258"/>
      <c r="J61" s="258"/>
      <c r="K61" s="258"/>
      <c r="L61" s="258"/>
      <c r="M61" s="123"/>
      <c r="N61" s="258"/>
      <c r="O61" s="258"/>
      <c r="P61" s="258"/>
      <c r="Q61" s="330">
        <f t="shared" si="139"/>
        <v>0</v>
      </c>
      <c r="R61" s="258"/>
      <c r="S61" s="330">
        <f t="shared" si="76"/>
        <v>11.2</v>
      </c>
      <c r="T61" s="258"/>
      <c r="U61" s="258"/>
      <c r="V61" s="258"/>
      <c r="W61" s="258"/>
      <c r="X61" s="122"/>
      <c r="Y61" s="258">
        <f t="shared" si="77"/>
        <v>0</v>
      </c>
      <c r="Z61" s="258"/>
      <c r="AA61" s="258">
        <f t="shared" si="140"/>
        <v>0</v>
      </c>
      <c r="AB61" s="258">
        <f t="shared" si="141"/>
        <v>0</v>
      </c>
      <c r="AC61" s="258"/>
      <c r="AD61" s="258">
        <f t="shared" si="18"/>
        <v>0</v>
      </c>
      <c r="AE61" s="258"/>
      <c r="AF61" s="258">
        <f t="shared" si="142"/>
        <v>0</v>
      </c>
      <c r="AG61" s="258">
        <f t="shared" si="143"/>
        <v>0</v>
      </c>
      <c r="AH61" s="258"/>
      <c r="AI61" s="258">
        <f t="shared" si="21"/>
        <v>0</v>
      </c>
      <c r="AJ61" s="258"/>
      <c r="AK61" s="258">
        <f t="shared" si="142"/>
        <v>0</v>
      </c>
      <c r="AL61" s="258">
        <f t="shared" si="143"/>
        <v>0</v>
      </c>
      <c r="AM61" s="258"/>
      <c r="AN61" s="258">
        <f t="shared" si="24"/>
        <v>0</v>
      </c>
      <c r="AO61" s="258"/>
      <c r="AP61" s="258">
        <f t="shared" si="142"/>
        <v>0</v>
      </c>
      <c r="AQ61" s="258">
        <f t="shared" si="143"/>
        <v>0</v>
      </c>
      <c r="AR61" s="258"/>
      <c r="AS61" s="258">
        <f t="shared" si="27"/>
        <v>0</v>
      </c>
      <c r="AT61" s="258"/>
      <c r="AU61" s="258">
        <f t="shared" si="142"/>
        <v>0</v>
      </c>
      <c r="AV61" s="258">
        <f t="shared" si="143"/>
        <v>0</v>
      </c>
      <c r="AW61" s="258"/>
      <c r="AX61" s="258">
        <f t="shared" si="30"/>
        <v>0</v>
      </c>
      <c r="AY61" s="258"/>
      <c r="AZ61" s="258">
        <f t="shared" si="142"/>
        <v>0</v>
      </c>
      <c r="BA61" s="258">
        <f t="shared" si="143"/>
        <v>0</v>
      </c>
      <c r="BB61" s="258"/>
      <c r="BC61" s="258">
        <f t="shared" si="33"/>
        <v>0</v>
      </c>
      <c r="BD61" s="258"/>
      <c r="BE61" s="258">
        <f t="shared" si="142"/>
        <v>0</v>
      </c>
      <c r="BF61" s="258">
        <f t="shared" si="143"/>
        <v>0</v>
      </c>
      <c r="BG61" s="258"/>
      <c r="BH61" s="258">
        <f t="shared" si="36"/>
        <v>-2</v>
      </c>
      <c r="BI61" s="258"/>
      <c r="BJ61" s="258">
        <f t="shared" si="142"/>
        <v>-2</v>
      </c>
      <c r="BK61" s="258">
        <f t="shared" si="143"/>
        <v>0</v>
      </c>
      <c r="BL61" s="258"/>
      <c r="BM61" s="258">
        <f t="shared" si="39"/>
        <v>0</v>
      </c>
      <c r="BN61" s="258"/>
      <c r="BO61" s="258">
        <f t="shared" si="142"/>
        <v>0</v>
      </c>
      <c r="BP61" s="258">
        <f t="shared" si="143"/>
        <v>0</v>
      </c>
      <c r="BQ61" s="258"/>
      <c r="BR61" s="258">
        <f t="shared" si="42"/>
        <v>0</v>
      </c>
      <c r="BS61" s="258"/>
      <c r="BT61" s="258">
        <f t="shared" si="142"/>
        <v>0</v>
      </c>
      <c r="BU61" s="258">
        <f t="shared" si="143"/>
        <v>0</v>
      </c>
      <c r="BV61" s="258"/>
      <c r="BW61" s="258">
        <f t="shared" si="45"/>
        <v>0</v>
      </c>
      <c r="BX61" s="258"/>
      <c r="BY61" s="258">
        <f t="shared" si="142"/>
        <v>0</v>
      </c>
      <c r="BZ61" s="258">
        <f t="shared" si="143"/>
        <v>0</v>
      </c>
      <c r="CA61" s="258"/>
      <c r="CB61" s="258">
        <f t="shared" si="48"/>
        <v>0</v>
      </c>
      <c r="CC61" s="258"/>
      <c r="CD61" s="258">
        <f t="shared" si="142"/>
        <v>0</v>
      </c>
      <c r="CE61" s="258">
        <f t="shared" si="143"/>
        <v>0</v>
      </c>
      <c r="CF61" s="258"/>
      <c r="CG61" s="258">
        <f t="shared" si="51"/>
        <v>0</v>
      </c>
      <c r="CH61" s="258"/>
      <c r="CI61" s="258">
        <f t="shared" si="142"/>
        <v>0</v>
      </c>
      <c r="CJ61" s="258">
        <f t="shared" si="143"/>
        <v>0</v>
      </c>
      <c r="CK61" s="258"/>
      <c r="CL61" s="258">
        <f t="shared" si="54"/>
        <v>0</v>
      </c>
      <c r="CM61" s="258"/>
      <c r="CN61" s="258">
        <f t="shared" si="142"/>
        <v>0</v>
      </c>
      <c r="CO61" s="258">
        <f t="shared" si="143"/>
        <v>0</v>
      </c>
      <c r="CP61" s="258"/>
      <c r="CQ61" s="258">
        <f t="shared" si="57"/>
        <v>0</v>
      </c>
      <c r="CR61" s="258"/>
      <c r="CS61" s="258">
        <f t="shared" si="144"/>
        <v>0</v>
      </c>
      <c r="CT61" s="258">
        <f t="shared" si="145"/>
        <v>0</v>
      </c>
      <c r="CU61" s="258"/>
      <c r="CV61" s="258">
        <f t="shared" si="60"/>
        <v>0</v>
      </c>
      <c r="CW61" s="258"/>
      <c r="CX61" s="258">
        <f t="shared" si="144"/>
        <v>0</v>
      </c>
      <c r="CY61" s="258">
        <f t="shared" si="145"/>
        <v>0</v>
      </c>
      <c r="CZ61" s="258"/>
      <c r="DA61" s="258">
        <f t="shared" si="63"/>
        <v>0</v>
      </c>
      <c r="DB61" s="258"/>
      <c r="DC61" s="258">
        <f t="shared" si="144"/>
        <v>0</v>
      </c>
      <c r="DD61" s="258">
        <f t="shared" si="145"/>
        <v>0</v>
      </c>
      <c r="DE61" s="258"/>
      <c r="DF61" s="258">
        <f t="shared" si="66"/>
        <v>16.2</v>
      </c>
      <c r="DG61" s="258"/>
      <c r="DH61" s="258">
        <f t="shared" si="144"/>
        <v>-3.8</v>
      </c>
      <c r="DI61" s="258">
        <f t="shared" si="145"/>
        <v>20</v>
      </c>
      <c r="DJ61" s="258"/>
      <c r="DK61" s="258">
        <f t="shared" si="69"/>
        <v>-3</v>
      </c>
      <c r="DL61" s="258"/>
      <c r="DM61" s="258">
        <f t="shared" si="144"/>
        <v>-3</v>
      </c>
      <c r="DN61" s="258">
        <f t="shared" si="145"/>
        <v>0</v>
      </c>
      <c r="DO61" s="258"/>
      <c r="DP61" s="258">
        <f t="shared" si="72"/>
        <v>0</v>
      </c>
      <c r="DQ61" s="258"/>
      <c r="DR61" s="258">
        <f t="shared" si="144"/>
        <v>0</v>
      </c>
      <c r="DS61" s="258">
        <f t="shared" si="145"/>
        <v>0</v>
      </c>
      <c r="DT61" s="258"/>
      <c r="DU61" s="258"/>
      <c r="DV61" s="258"/>
      <c r="DW61" s="258"/>
      <c r="DX61" s="258"/>
      <c r="DY61" s="258"/>
      <c r="DZ61" s="258"/>
      <c r="EA61" s="258"/>
      <c r="EB61" s="258"/>
      <c r="EC61" s="258"/>
      <c r="FB61" s="258"/>
      <c r="FC61" s="258"/>
      <c r="FD61" s="258"/>
      <c r="FE61" s="258"/>
      <c r="FF61" s="258"/>
      <c r="FG61" s="258"/>
      <c r="FH61" s="258"/>
      <c r="FI61" s="258"/>
      <c r="FK61" s="258"/>
      <c r="FM61" s="310"/>
      <c r="FN61" s="310"/>
      <c r="FO61" s="310"/>
      <c r="FP61" s="310"/>
      <c r="FQ61" s="310"/>
      <c r="FR61" s="310"/>
      <c r="FS61" s="310"/>
      <c r="FT61" s="310"/>
      <c r="FU61" s="126"/>
      <c r="FV61" s="126"/>
      <c r="FW61" s="126"/>
      <c r="FX61" s="126"/>
      <c r="FY61" s="126"/>
      <c r="FZ61" s="126"/>
      <c r="GA61" s="126"/>
      <c r="GB61" s="126"/>
      <c r="GC61" s="126"/>
      <c r="GD61" s="126"/>
    </row>
    <row r="62" spans="2:186" s="118" customFormat="1" ht="13.5" customHeight="1" x14ac:dyDescent="0.2">
      <c r="B62" s="158" t="str">
        <f t="shared" si="138"/>
        <v>AHMAD, Danyal</v>
      </c>
      <c r="C62" s="324"/>
      <c r="D62" s="324"/>
      <c r="E62" s="324"/>
      <c r="F62" s="258"/>
      <c r="G62" s="258"/>
      <c r="H62" s="258"/>
      <c r="I62" s="258"/>
      <c r="J62" s="258"/>
      <c r="K62" s="258"/>
      <c r="L62" s="258"/>
      <c r="M62" s="123"/>
      <c r="N62" s="258"/>
      <c r="O62" s="258"/>
      <c r="P62" s="258"/>
      <c r="Q62" s="330">
        <f t="shared" si="139"/>
        <v>0</v>
      </c>
      <c r="R62" s="258"/>
      <c r="S62" s="330">
        <f t="shared" si="76"/>
        <v>-4.5999999999999996</v>
      </c>
      <c r="T62" s="258"/>
      <c r="U62" s="258"/>
      <c r="V62" s="258"/>
      <c r="W62" s="258"/>
      <c r="X62" s="122"/>
      <c r="Y62" s="258">
        <f t="shared" si="77"/>
        <v>0</v>
      </c>
      <c r="Z62" s="258"/>
      <c r="AA62" s="258">
        <f t="shared" si="140"/>
        <v>0</v>
      </c>
      <c r="AB62" s="258">
        <f t="shared" si="141"/>
        <v>0</v>
      </c>
      <c r="AC62" s="258"/>
      <c r="AD62" s="258">
        <f t="shared" si="18"/>
        <v>0</v>
      </c>
      <c r="AE62" s="258"/>
      <c r="AF62" s="258">
        <f t="shared" si="142"/>
        <v>0</v>
      </c>
      <c r="AG62" s="258">
        <f t="shared" si="143"/>
        <v>0</v>
      </c>
      <c r="AH62" s="258"/>
      <c r="AI62" s="258">
        <f t="shared" si="21"/>
        <v>0</v>
      </c>
      <c r="AJ62" s="258"/>
      <c r="AK62" s="258">
        <f t="shared" si="142"/>
        <v>0</v>
      </c>
      <c r="AL62" s="258">
        <f t="shared" si="143"/>
        <v>0</v>
      </c>
      <c r="AM62" s="258"/>
      <c r="AN62" s="258">
        <f t="shared" si="24"/>
        <v>0</v>
      </c>
      <c r="AO62" s="258"/>
      <c r="AP62" s="258">
        <f t="shared" si="142"/>
        <v>0</v>
      </c>
      <c r="AQ62" s="258">
        <f t="shared" si="143"/>
        <v>0</v>
      </c>
      <c r="AR62" s="258"/>
      <c r="AS62" s="258">
        <f t="shared" si="27"/>
        <v>0</v>
      </c>
      <c r="AT62" s="258"/>
      <c r="AU62" s="258">
        <f t="shared" si="142"/>
        <v>0</v>
      </c>
      <c r="AV62" s="258">
        <f t="shared" si="143"/>
        <v>0</v>
      </c>
      <c r="AW62" s="258"/>
      <c r="AX62" s="258">
        <f t="shared" si="30"/>
        <v>0</v>
      </c>
      <c r="AY62" s="258"/>
      <c r="AZ62" s="258">
        <f t="shared" si="142"/>
        <v>0</v>
      </c>
      <c r="BA62" s="258">
        <f t="shared" si="143"/>
        <v>0</v>
      </c>
      <c r="BB62" s="258"/>
      <c r="BC62" s="258">
        <f t="shared" si="33"/>
        <v>0</v>
      </c>
      <c r="BD62" s="258"/>
      <c r="BE62" s="258">
        <f t="shared" si="142"/>
        <v>0</v>
      </c>
      <c r="BF62" s="258">
        <f t="shared" si="143"/>
        <v>0</v>
      </c>
      <c r="BG62" s="258"/>
      <c r="BH62" s="258">
        <f t="shared" si="36"/>
        <v>0</v>
      </c>
      <c r="BI62" s="258"/>
      <c r="BJ62" s="258">
        <f t="shared" si="142"/>
        <v>0</v>
      </c>
      <c r="BK62" s="258">
        <f t="shared" si="143"/>
        <v>0</v>
      </c>
      <c r="BL62" s="258"/>
      <c r="BM62" s="258">
        <f t="shared" si="39"/>
        <v>0</v>
      </c>
      <c r="BN62" s="258"/>
      <c r="BO62" s="258">
        <f t="shared" si="142"/>
        <v>0</v>
      </c>
      <c r="BP62" s="258">
        <f t="shared" si="143"/>
        <v>0</v>
      </c>
      <c r="BQ62" s="258"/>
      <c r="BR62" s="258">
        <f t="shared" si="42"/>
        <v>0</v>
      </c>
      <c r="BS62" s="258"/>
      <c r="BT62" s="258">
        <f t="shared" si="142"/>
        <v>0</v>
      </c>
      <c r="BU62" s="258">
        <f t="shared" si="143"/>
        <v>0</v>
      </c>
      <c r="BV62" s="258"/>
      <c r="BW62" s="258">
        <f t="shared" si="45"/>
        <v>-4.5999999999999996</v>
      </c>
      <c r="BX62" s="258"/>
      <c r="BY62" s="258">
        <f t="shared" si="142"/>
        <v>-4.5999999999999996</v>
      </c>
      <c r="BZ62" s="258">
        <f t="shared" si="143"/>
        <v>0</v>
      </c>
      <c r="CA62" s="258"/>
      <c r="CB62" s="258">
        <f t="shared" si="48"/>
        <v>0</v>
      </c>
      <c r="CC62" s="258"/>
      <c r="CD62" s="258">
        <f t="shared" si="142"/>
        <v>0</v>
      </c>
      <c r="CE62" s="258">
        <f t="shared" si="143"/>
        <v>0</v>
      </c>
      <c r="CF62" s="258"/>
      <c r="CG62" s="258">
        <f t="shared" si="51"/>
        <v>0</v>
      </c>
      <c r="CH62" s="258"/>
      <c r="CI62" s="258">
        <f t="shared" si="142"/>
        <v>0</v>
      </c>
      <c r="CJ62" s="258">
        <f t="shared" si="143"/>
        <v>0</v>
      </c>
      <c r="CK62" s="258"/>
      <c r="CL62" s="258">
        <f t="shared" si="54"/>
        <v>0</v>
      </c>
      <c r="CM62" s="258"/>
      <c r="CN62" s="258">
        <f t="shared" si="142"/>
        <v>0</v>
      </c>
      <c r="CO62" s="258">
        <f t="shared" si="143"/>
        <v>0</v>
      </c>
      <c r="CP62" s="258"/>
      <c r="CQ62" s="258">
        <f t="shared" si="57"/>
        <v>0</v>
      </c>
      <c r="CR62" s="258"/>
      <c r="CS62" s="258">
        <f t="shared" si="144"/>
        <v>0</v>
      </c>
      <c r="CT62" s="258">
        <f t="shared" si="145"/>
        <v>0</v>
      </c>
      <c r="CU62" s="258"/>
      <c r="CV62" s="258">
        <f t="shared" si="60"/>
        <v>0</v>
      </c>
      <c r="CW62" s="258"/>
      <c r="CX62" s="258">
        <f t="shared" si="144"/>
        <v>0</v>
      </c>
      <c r="CY62" s="258">
        <f t="shared" si="145"/>
        <v>0</v>
      </c>
      <c r="CZ62" s="258"/>
      <c r="DA62" s="258">
        <f t="shared" si="63"/>
        <v>0</v>
      </c>
      <c r="DB62" s="258"/>
      <c r="DC62" s="258">
        <f t="shared" si="144"/>
        <v>0</v>
      </c>
      <c r="DD62" s="258">
        <f t="shared" si="145"/>
        <v>0</v>
      </c>
      <c r="DE62" s="258"/>
      <c r="DF62" s="258">
        <f t="shared" si="66"/>
        <v>0</v>
      </c>
      <c r="DG62" s="258"/>
      <c r="DH62" s="258">
        <f t="shared" si="144"/>
        <v>0</v>
      </c>
      <c r="DI62" s="258">
        <f t="shared" si="145"/>
        <v>0</v>
      </c>
      <c r="DJ62" s="258"/>
      <c r="DK62" s="258">
        <f t="shared" si="69"/>
        <v>0</v>
      </c>
      <c r="DL62" s="258"/>
      <c r="DM62" s="258">
        <f t="shared" si="144"/>
        <v>0</v>
      </c>
      <c r="DN62" s="258">
        <f t="shared" si="145"/>
        <v>0</v>
      </c>
      <c r="DO62" s="258"/>
      <c r="DP62" s="258">
        <f t="shared" si="72"/>
        <v>0</v>
      </c>
      <c r="DQ62" s="258"/>
      <c r="DR62" s="258">
        <f t="shared" si="144"/>
        <v>0</v>
      </c>
      <c r="DS62" s="258">
        <f t="shared" si="145"/>
        <v>0</v>
      </c>
      <c r="DT62" s="258"/>
      <c r="DU62" s="258"/>
      <c r="DV62" s="258"/>
      <c r="DW62" s="258"/>
      <c r="DX62" s="258"/>
      <c r="DY62" s="258"/>
      <c r="DZ62" s="258"/>
      <c r="EA62" s="258"/>
      <c r="EB62" s="258"/>
      <c r="EC62" s="258"/>
      <c r="FB62" s="258"/>
      <c r="FC62" s="258"/>
      <c r="FD62" s="258"/>
      <c r="FE62" s="258"/>
      <c r="FF62" s="258"/>
      <c r="FG62" s="258"/>
      <c r="FH62" s="258"/>
      <c r="FI62" s="258"/>
      <c r="FK62" s="258"/>
      <c r="FM62" s="310"/>
      <c r="FN62" s="310"/>
      <c r="FO62" s="310"/>
      <c r="FP62" s="310"/>
      <c r="FQ62" s="310"/>
      <c r="FR62" s="310"/>
      <c r="FS62" s="310"/>
      <c r="FT62" s="310"/>
      <c r="FU62" s="126"/>
      <c r="FV62" s="126"/>
      <c r="FW62" s="126"/>
      <c r="FX62" s="126"/>
      <c r="FY62" s="126"/>
      <c r="FZ62" s="126"/>
      <c r="GA62" s="126"/>
      <c r="GB62" s="126"/>
      <c r="GC62" s="126"/>
      <c r="GD62" s="126"/>
    </row>
    <row r="63" spans="2:186" s="118" customFormat="1" ht="13.5" customHeight="1" x14ac:dyDescent="0.2">
      <c r="B63" s="158" t="str">
        <f t="shared" si="138"/>
        <v>FORD, Terrence</v>
      </c>
      <c r="C63" s="324"/>
      <c r="D63" s="324"/>
      <c r="E63" s="324"/>
      <c r="F63" s="258"/>
      <c r="G63" s="258"/>
      <c r="H63" s="258"/>
      <c r="I63" s="258"/>
      <c r="J63" s="258"/>
      <c r="K63" s="258"/>
      <c r="L63" s="258"/>
      <c r="M63" s="123"/>
      <c r="N63" s="258"/>
      <c r="O63" s="258"/>
      <c r="P63" s="258"/>
      <c r="Q63" s="330">
        <f t="shared" si="139"/>
        <v>0</v>
      </c>
      <c r="R63" s="258"/>
      <c r="S63" s="330">
        <f t="shared" si="76"/>
        <v>-4.5999999999999996</v>
      </c>
      <c r="T63" s="258"/>
      <c r="U63" s="258"/>
      <c r="V63" s="258"/>
      <c r="W63" s="258"/>
      <c r="X63" s="122"/>
      <c r="Y63" s="258">
        <f t="shared" si="77"/>
        <v>0</v>
      </c>
      <c r="Z63" s="258"/>
      <c r="AA63" s="258">
        <f t="shared" si="140"/>
        <v>0</v>
      </c>
      <c r="AB63" s="258">
        <f t="shared" si="141"/>
        <v>0</v>
      </c>
      <c r="AC63" s="258"/>
      <c r="AD63" s="258">
        <f t="shared" si="18"/>
        <v>0</v>
      </c>
      <c r="AE63" s="258"/>
      <c r="AF63" s="258">
        <f t="shared" si="142"/>
        <v>0</v>
      </c>
      <c r="AG63" s="258">
        <f t="shared" si="143"/>
        <v>0</v>
      </c>
      <c r="AH63" s="258"/>
      <c r="AI63" s="258">
        <f t="shared" si="21"/>
        <v>0</v>
      </c>
      <c r="AJ63" s="258"/>
      <c r="AK63" s="258">
        <f t="shared" si="142"/>
        <v>0</v>
      </c>
      <c r="AL63" s="258">
        <f t="shared" si="143"/>
        <v>0</v>
      </c>
      <c r="AM63" s="258"/>
      <c r="AN63" s="258">
        <f t="shared" si="24"/>
        <v>0</v>
      </c>
      <c r="AO63" s="258"/>
      <c r="AP63" s="258">
        <f t="shared" si="142"/>
        <v>0</v>
      </c>
      <c r="AQ63" s="258">
        <f t="shared" si="143"/>
        <v>0</v>
      </c>
      <c r="AR63" s="258"/>
      <c r="AS63" s="258">
        <f t="shared" si="27"/>
        <v>0</v>
      </c>
      <c r="AT63" s="258"/>
      <c r="AU63" s="258">
        <f t="shared" si="142"/>
        <v>0</v>
      </c>
      <c r="AV63" s="258">
        <f t="shared" si="143"/>
        <v>0</v>
      </c>
      <c r="AW63" s="258"/>
      <c r="AX63" s="258">
        <f t="shared" si="30"/>
        <v>0</v>
      </c>
      <c r="AY63" s="258"/>
      <c r="AZ63" s="258">
        <f t="shared" si="142"/>
        <v>0</v>
      </c>
      <c r="BA63" s="258">
        <f t="shared" si="143"/>
        <v>0</v>
      </c>
      <c r="BB63" s="258"/>
      <c r="BC63" s="258">
        <f t="shared" si="33"/>
        <v>0</v>
      </c>
      <c r="BD63" s="258"/>
      <c r="BE63" s="258">
        <f t="shared" si="142"/>
        <v>0</v>
      </c>
      <c r="BF63" s="258">
        <f t="shared" si="143"/>
        <v>0</v>
      </c>
      <c r="BG63" s="258"/>
      <c r="BH63" s="258">
        <f t="shared" si="36"/>
        <v>0</v>
      </c>
      <c r="BI63" s="258"/>
      <c r="BJ63" s="258">
        <f t="shared" si="142"/>
        <v>0</v>
      </c>
      <c r="BK63" s="258">
        <f t="shared" si="143"/>
        <v>0</v>
      </c>
      <c r="BL63" s="258"/>
      <c r="BM63" s="258">
        <f t="shared" si="39"/>
        <v>0</v>
      </c>
      <c r="BN63" s="258"/>
      <c r="BO63" s="258">
        <f t="shared" si="142"/>
        <v>0</v>
      </c>
      <c r="BP63" s="258">
        <f t="shared" si="143"/>
        <v>0</v>
      </c>
      <c r="BQ63" s="258"/>
      <c r="BR63" s="258">
        <f t="shared" si="42"/>
        <v>0</v>
      </c>
      <c r="BS63" s="258"/>
      <c r="BT63" s="258">
        <f t="shared" si="142"/>
        <v>0</v>
      </c>
      <c r="BU63" s="258">
        <f t="shared" si="143"/>
        <v>0</v>
      </c>
      <c r="BV63" s="258"/>
      <c r="BW63" s="258">
        <f t="shared" si="45"/>
        <v>0</v>
      </c>
      <c r="BX63" s="258"/>
      <c r="BY63" s="258">
        <f t="shared" si="142"/>
        <v>0</v>
      </c>
      <c r="BZ63" s="258">
        <f t="shared" si="143"/>
        <v>0</v>
      </c>
      <c r="CA63" s="258"/>
      <c r="CB63" s="258">
        <f t="shared" si="48"/>
        <v>0</v>
      </c>
      <c r="CC63" s="258"/>
      <c r="CD63" s="258">
        <f t="shared" si="142"/>
        <v>0</v>
      </c>
      <c r="CE63" s="258">
        <f t="shared" si="143"/>
        <v>0</v>
      </c>
      <c r="CF63" s="258"/>
      <c r="CG63" s="258">
        <f t="shared" si="51"/>
        <v>0</v>
      </c>
      <c r="CH63" s="258"/>
      <c r="CI63" s="258">
        <f t="shared" si="142"/>
        <v>0</v>
      </c>
      <c r="CJ63" s="258">
        <f t="shared" si="143"/>
        <v>0</v>
      </c>
      <c r="CK63" s="258"/>
      <c r="CL63" s="258">
        <f t="shared" si="54"/>
        <v>-4.5999999999999996</v>
      </c>
      <c r="CM63" s="258"/>
      <c r="CN63" s="258">
        <f t="shared" si="142"/>
        <v>-4.5999999999999996</v>
      </c>
      <c r="CO63" s="258">
        <f t="shared" si="143"/>
        <v>0</v>
      </c>
      <c r="CP63" s="258"/>
      <c r="CQ63" s="258">
        <f t="shared" si="57"/>
        <v>0</v>
      </c>
      <c r="CR63" s="258"/>
      <c r="CS63" s="258">
        <f t="shared" si="144"/>
        <v>0</v>
      </c>
      <c r="CT63" s="258">
        <f t="shared" si="145"/>
        <v>0</v>
      </c>
      <c r="CU63" s="258"/>
      <c r="CV63" s="258">
        <f t="shared" si="60"/>
        <v>0</v>
      </c>
      <c r="CW63" s="258"/>
      <c r="CX63" s="258">
        <f t="shared" si="144"/>
        <v>0</v>
      </c>
      <c r="CY63" s="258">
        <f t="shared" si="145"/>
        <v>0</v>
      </c>
      <c r="CZ63" s="258"/>
      <c r="DA63" s="258">
        <f t="shared" si="63"/>
        <v>0</v>
      </c>
      <c r="DB63" s="258"/>
      <c r="DC63" s="258">
        <f t="shared" si="144"/>
        <v>0</v>
      </c>
      <c r="DD63" s="258">
        <f t="shared" si="145"/>
        <v>0</v>
      </c>
      <c r="DE63" s="258"/>
      <c r="DF63" s="258">
        <f t="shared" si="66"/>
        <v>0</v>
      </c>
      <c r="DG63" s="258"/>
      <c r="DH63" s="258">
        <f t="shared" si="144"/>
        <v>0</v>
      </c>
      <c r="DI63" s="258">
        <f t="shared" si="145"/>
        <v>0</v>
      </c>
      <c r="DJ63" s="258"/>
      <c r="DK63" s="258">
        <f t="shared" si="69"/>
        <v>0</v>
      </c>
      <c r="DL63" s="258"/>
      <c r="DM63" s="258">
        <f t="shared" si="144"/>
        <v>0</v>
      </c>
      <c r="DN63" s="258">
        <f t="shared" si="145"/>
        <v>0</v>
      </c>
      <c r="DO63" s="258"/>
      <c r="DP63" s="258">
        <f t="shared" si="72"/>
        <v>0</v>
      </c>
      <c r="DQ63" s="258"/>
      <c r="DR63" s="258">
        <f t="shared" si="144"/>
        <v>0</v>
      </c>
      <c r="DS63" s="258">
        <f t="shared" si="145"/>
        <v>0</v>
      </c>
      <c r="DT63" s="258"/>
      <c r="DU63" s="258"/>
      <c r="DV63" s="258"/>
      <c r="DW63" s="258"/>
      <c r="DX63" s="258"/>
      <c r="DY63" s="258"/>
      <c r="DZ63" s="258"/>
      <c r="EA63" s="258"/>
      <c r="EB63" s="258"/>
      <c r="EC63" s="258"/>
      <c r="FB63" s="258"/>
      <c r="FC63" s="258"/>
      <c r="FD63" s="258"/>
      <c r="FE63" s="258"/>
      <c r="FF63" s="258"/>
      <c r="FG63" s="258"/>
      <c r="FH63" s="258"/>
      <c r="FI63" s="258"/>
      <c r="FK63" s="258"/>
      <c r="FM63" s="310"/>
      <c r="FN63" s="310"/>
      <c r="FO63" s="310"/>
      <c r="FP63" s="310"/>
      <c r="FQ63" s="310"/>
      <c r="FR63" s="310"/>
      <c r="FS63" s="310"/>
      <c r="FT63" s="310"/>
      <c r="FU63" s="126"/>
      <c r="FV63" s="126"/>
      <c r="FW63" s="126"/>
      <c r="FX63" s="126"/>
      <c r="FY63" s="126"/>
      <c r="FZ63" s="126"/>
      <c r="GA63" s="126"/>
      <c r="GB63" s="126"/>
      <c r="GC63" s="126"/>
      <c r="GD63" s="126"/>
    </row>
    <row r="64" spans="2:186" s="118" customFormat="1" ht="13.5" customHeight="1" x14ac:dyDescent="0.2">
      <c r="B64" s="158" t="str">
        <f>+B34</f>
        <v>COLEMAN, Nathan</v>
      </c>
      <c r="C64" s="324"/>
      <c r="D64" s="324"/>
      <c r="E64" s="324"/>
      <c r="F64" s="258"/>
      <c r="G64" s="258"/>
      <c r="H64" s="258"/>
      <c r="I64" s="258"/>
      <c r="J64" s="258"/>
      <c r="K64" s="258"/>
      <c r="L64" s="258"/>
      <c r="M64" s="123"/>
      <c r="N64" s="258"/>
      <c r="O64" s="258"/>
      <c r="P64" s="258"/>
      <c r="Q64" s="330">
        <f t="shared" si="139"/>
        <v>0</v>
      </c>
      <c r="R64" s="258"/>
      <c r="S64" s="330">
        <f t="shared" si="76"/>
        <v>-10</v>
      </c>
      <c r="T64" s="258"/>
      <c r="U64" s="258"/>
      <c r="V64" s="258"/>
      <c r="W64" s="258"/>
      <c r="X64" s="122"/>
      <c r="Y64" s="258">
        <f t="shared" si="77"/>
        <v>0</v>
      </c>
      <c r="Z64" s="258"/>
      <c r="AA64" s="258">
        <f t="shared" si="140"/>
        <v>0</v>
      </c>
      <c r="AB64" s="258">
        <f t="shared" si="141"/>
        <v>0</v>
      </c>
      <c r="AC64" s="258"/>
      <c r="AD64" s="258">
        <f t="shared" si="18"/>
        <v>0</v>
      </c>
      <c r="AE64" s="258"/>
      <c r="AF64" s="258">
        <f t="shared" si="142"/>
        <v>0</v>
      </c>
      <c r="AG64" s="258">
        <f t="shared" si="143"/>
        <v>0</v>
      </c>
      <c r="AH64" s="258"/>
      <c r="AI64" s="258">
        <f t="shared" si="21"/>
        <v>0</v>
      </c>
      <c r="AJ64" s="258"/>
      <c r="AK64" s="258">
        <f t="shared" si="142"/>
        <v>0</v>
      </c>
      <c r="AL64" s="258">
        <f t="shared" si="143"/>
        <v>0</v>
      </c>
      <c r="AM64" s="258"/>
      <c r="AN64" s="258">
        <f t="shared" si="24"/>
        <v>0</v>
      </c>
      <c r="AO64" s="258"/>
      <c r="AP64" s="258">
        <f t="shared" si="142"/>
        <v>0</v>
      </c>
      <c r="AQ64" s="258">
        <f t="shared" si="143"/>
        <v>0</v>
      </c>
      <c r="AR64" s="258"/>
      <c r="AS64" s="258">
        <f t="shared" si="27"/>
        <v>0</v>
      </c>
      <c r="AT64" s="258"/>
      <c r="AU64" s="258">
        <f t="shared" si="142"/>
        <v>0</v>
      </c>
      <c r="AV64" s="258">
        <f t="shared" si="143"/>
        <v>0</v>
      </c>
      <c r="AW64" s="258"/>
      <c r="AX64" s="258">
        <f t="shared" si="30"/>
        <v>0</v>
      </c>
      <c r="AY64" s="258"/>
      <c r="AZ64" s="258">
        <f t="shared" si="142"/>
        <v>0</v>
      </c>
      <c r="BA64" s="258">
        <f t="shared" si="143"/>
        <v>0</v>
      </c>
      <c r="BB64" s="258"/>
      <c r="BC64" s="258">
        <f t="shared" si="33"/>
        <v>0</v>
      </c>
      <c r="BD64" s="258"/>
      <c r="BE64" s="258">
        <f t="shared" si="142"/>
        <v>0</v>
      </c>
      <c r="BF64" s="258">
        <f t="shared" si="143"/>
        <v>0</v>
      </c>
      <c r="BG64" s="258"/>
      <c r="BH64" s="258">
        <f t="shared" si="36"/>
        <v>0</v>
      </c>
      <c r="BI64" s="258"/>
      <c r="BJ64" s="258">
        <f t="shared" si="142"/>
        <v>0</v>
      </c>
      <c r="BK64" s="258">
        <f t="shared" si="143"/>
        <v>0</v>
      </c>
      <c r="BL64" s="258"/>
      <c r="BM64" s="258">
        <f t="shared" si="39"/>
        <v>0</v>
      </c>
      <c r="BN64" s="258"/>
      <c r="BO64" s="258">
        <f t="shared" si="142"/>
        <v>0</v>
      </c>
      <c r="BP64" s="258">
        <f t="shared" si="143"/>
        <v>0</v>
      </c>
      <c r="BQ64" s="258"/>
      <c r="BR64" s="258">
        <f t="shared" si="42"/>
        <v>0</v>
      </c>
      <c r="BS64" s="258"/>
      <c r="BT64" s="258">
        <f t="shared" si="142"/>
        <v>0</v>
      </c>
      <c r="BU64" s="258">
        <f t="shared" si="143"/>
        <v>0</v>
      </c>
      <c r="BV64" s="258"/>
      <c r="BW64" s="258">
        <f t="shared" si="45"/>
        <v>-4.8</v>
      </c>
      <c r="BX64" s="258"/>
      <c r="BY64" s="258">
        <f t="shared" si="142"/>
        <v>-4.8</v>
      </c>
      <c r="BZ64" s="258">
        <f t="shared" si="143"/>
        <v>0</v>
      </c>
      <c r="CA64" s="258"/>
      <c r="CB64" s="258">
        <f t="shared" si="48"/>
        <v>0</v>
      </c>
      <c r="CC64" s="258"/>
      <c r="CD64" s="258">
        <f t="shared" si="142"/>
        <v>0</v>
      </c>
      <c r="CE64" s="258">
        <f t="shared" si="143"/>
        <v>0</v>
      </c>
      <c r="CF64" s="258"/>
      <c r="CG64" s="258">
        <f t="shared" si="51"/>
        <v>0</v>
      </c>
      <c r="CH64" s="258"/>
      <c r="CI64" s="258">
        <f t="shared" si="142"/>
        <v>0</v>
      </c>
      <c r="CJ64" s="258">
        <f t="shared" si="143"/>
        <v>0</v>
      </c>
      <c r="CK64" s="258"/>
      <c r="CL64" s="258">
        <f t="shared" si="54"/>
        <v>0</v>
      </c>
      <c r="CM64" s="258"/>
      <c r="CN64" s="258">
        <f t="shared" si="142"/>
        <v>0</v>
      </c>
      <c r="CO64" s="258">
        <f t="shared" si="143"/>
        <v>0</v>
      </c>
      <c r="CP64" s="258"/>
      <c r="CQ64" s="258">
        <f t="shared" si="57"/>
        <v>0</v>
      </c>
      <c r="CR64" s="258"/>
      <c r="CS64" s="258">
        <f t="shared" si="144"/>
        <v>0</v>
      </c>
      <c r="CT64" s="258">
        <f t="shared" si="145"/>
        <v>0</v>
      </c>
      <c r="CU64" s="258"/>
      <c r="CV64" s="258">
        <f t="shared" si="60"/>
        <v>0</v>
      </c>
      <c r="CW64" s="258"/>
      <c r="CX64" s="258">
        <f t="shared" si="144"/>
        <v>0</v>
      </c>
      <c r="CY64" s="258">
        <f t="shared" si="145"/>
        <v>0</v>
      </c>
      <c r="CZ64" s="258"/>
      <c r="DA64" s="258">
        <f t="shared" si="63"/>
        <v>-5.2</v>
      </c>
      <c r="DB64" s="258"/>
      <c r="DC64" s="258">
        <f t="shared" si="144"/>
        <v>-5.2</v>
      </c>
      <c r="DD64" s="258">
        <f t="shared" si="145"/>
        <v>0</v>
      </c>
      <c r="DE64" s="258"/>
      <c r="DF64" s="258">
        <f t="shared" si="66"/>
        <v>0</v>
      </c>
      <c r="DG64" s="258"/>
      <c r="DH64" s="258">
        <f t="shared" si="144"/>
        <v>0</v>
      </c>
      <c r="DI64" s="258">
        <f t="shared" si="145"/>
        <v>0</v>
      </c>
      <c r="DJ64" s="258"/>
      <c r="DK64" s="258">
        <f t="shared" si="69"/>
        <v>0</v>
      </c>
      <c r="DL64" s="258"/>
      <c r="DM64" s="258">
        <f t="shared" si="144"/>
        <v>0</v>
      </c>
      <c r="DN64" s="258">
        <f t="shared" si="145"/>
        <v>0</v>
      </c>
      <c r="DO64" s="258"/>
      <c r="DP64" s="258">
        <f t="shared" si="72"/>
        <v>0</v>
      </c>
      <c r="DQ64" s="258"/>
      <c r="DR64" s="258">
        <f t="shared" si="144"/>
        <v>0</v>
      </c>
      <c r="DS64" s="258">
        <f t="shared" si="145"/>
        <v>0</v>
      </c>
      <c r="DT64" s="258"/>
      <c r="DU64" s="258"/>
      <c r="DV64" s="258"/>
      <c r="DW64" s="258"/>
      <c r="DX64" s="258"/>
      <c r="DY64" s="258"/>
      <c r="DZ64" s="258"/>
      <c r="EA64" s="258"/>
      <c r="EB64" s="258"/>
      <c r="EC64" s="258"/>
      <c r="FB64" s="258"/>
      <c r="FC64" s="258"/>
      <c r="FD64" s="258"/>
      <c r="FE64" s="258"/>
      <c r="FF64" s="258"/>
      <c r="FG64" s="258"/>
      <c r="FH64" s="258"/>
      <c r="FI64" s="258"/>
      <c r="FK64" s="258"/>
      <c r="FM64" s="310"/>
      <c r="FN64" s="310"/>
      <c r="FO64" s="310"/>
      <c r="FP64" s="310"/>
      <c r="FQ64" s="310"/>
      <c r="FR64" s="310"/>
      <c r="FS64" s="310"/>
      <c r="FT64" s="310"/>
      <c r="FU64" s="126"/>
      <c r="FV64" s="126"/>
      <c r="FW64" s="126"/>
      <c r="FX64" s="126"/>
      <c r="FY64" s="126"/>
      <c r="FZ64" s="126"/>
      <c r="GA64" s="126"/>
      <c r="GB64" s="126"/>
      <c r="GC64" s="126"/>
      <c r="GD64" s="126"/>
    </row>
    <row r="65" spans="2:186" s="118" customFormat="1" ht="13.5" customHeight="1" x14ac:dyDescent="0.2">
      <c r="B65" s="158" t="str">
        <f>+B35</f>
        <v>GILLIAN, Kahuna</v>
      </c>
      <c r="C65" s="324"/>
      <c r="D65" s="324"/>
      <c r="E65" s="324"/>
      <c r="F65" s="258"/>
      <c r="G65" s="258"/>
      <c r="H65" s="258"/>
      <c r="I65" s="258"/>
      <c r="J65" s="258"/>
      <c r="K65" s="258"/>
      <c r="L65" s="258"/>
      <c r="M65" s="123"/>
      <c r="N65" s="258"/>
      <c r="O65" s="258"/>
      <c r="P65" s="258"/>
      <c r="Q65" s="330">
        <f t="shared" si="139"/>
        <v>0</v>
      </c>
      <c r="R65" s="258"/>
      <c r="S65" s="330">
        <f t="shared" si="76"/>
        <v>-1.6</v>
      </c>
      <c r="T65" s="258"/>
      <c r="U65" s="258"/>
      <c r="V65" s="258"/>
      <c r="W65" s="258"/>
      <c r="X65" s="122"/>
      <c r="Y65" s="258">
        <f t="shared" si="77"/>
        <v>0</v>
      </c>
      <c r="Z65" s="258"/>
      <c r="AA65" s="258">
        <f t="shared" si="140"/>
        <v>0</v>
      </c>
      <c r="AB65" s="258">
        <f t="shared" si="141"/>
        <v>0</v>
      </c>
      <c r="AC65" s="258"/>
      <c r="AD65" s="258">
        <f t="shared" si="18"/>
        <v>0</v>
      </c>
      <c r="AE65" s="258"/>
      <c r="AF65" s="258">
        <f t="shared" si="142"/>
        <v>0</v>
      </c>
      <c r="AG65" s="258">
        <f t="shared" si="143"/>
        <v>0</v>
      </c>
      <c r="AH65" s="258"/>
      <c r="AI65" s="258">
        <f t="shared" si="21"/>
        <v>0</v>
      </c>
      <c r="AJ65" s="258"/>
      <c r="AK65" s="258">
        <f t="shared" si="142"/>
        <v>0</v>
      </c>
      <c r="AL65" s="258">
        <f t="shared" si="143"/>
        <v>0</v>
      </c>
      <c r="AM65" s="258"/>
      <c r="AN65" s="258">
        <f t="shared" si="24"/>
        <v>0</v>
      </c>
      <c r="AO65" s="258"/>
      <c r="AP65" s="258">
        <f t="shared" si="142"/>
        <v>0</v>
      </c>
      <c r="AQ65" s="258">
        <f t="shared" si="143"/>
        <v>0</v>
      </c>
      <c r="AR65" s="258"/>
      <c r="AS65" s="258">
        <f t="shared" si="27"/>
        <v>0</v>
      </c>
      <c r="AT65" s="258"/>
      <c r="AU65" s="258">
        <f t="shared" si="142"/>
        <v>0</v>
      </c>
      <c r="AV65" s="258">
        <f t="shared" si="143"/>
        <v>0</v>
      </c>
      <c r="AW65" s="258"/>
      <c r="AX65" s="258">
        <f t="shared" si="30"/>
        <v>0</v>
      </c>
      <c r="AY65" s="258"/>
      <c r="AZ65" s="258">
        <f t="shared" si="142"/>
        <v>0</v>
      </c>
      <c r="BA65" s="258">
        <f t="shared" si="143"/>
        <v>0</v>
      </c>
      <c r="BB65" s="258"/>
      <c r="BC65" s="258">
        <f t="shared" si="33"/>
        <v>0</v>
      </c>
      <c r="BD65" s="258"/>
      <c r="BE65" s="258">
        <f t="shared" si="142"/>
        <v>0</v>
      </c>
      <c r="BF65" s="258">
        <f t="shared" si="143"/>
        <v>0</v>
      </c>
      <c r="BG65" s="258"/>
      <c r="BH65" s="258">
        <f t="shared" si="36"/>
        <v>0</v>
      </c>
      <c r="BI65" s="258"/>
      <c r="BJ65" s="258">
        <f t="shared" si="142"/>
        <v>0</v>
      </c>
      <c r="BK65" s="258">
        <f t="shared" si="143"/>
        <v>0</v>
      </c>
      <c r="BL65" s="258"/>
      <c r="BM65" s="258">
        <f t="shared" si="39"/>
        <v>0</v>
      </c>
      <c r="BN65" s="258"/>
      <c r="BO65" s="258">
        <f t="shared" si="142"/>
        <v>0</v>
      </c>
      <c r="BP65" s="258">
        <f t="shared" si="143"/>
        <v>0</v>
      </c>
      <c r="BQ65" s="258"/>
      <c r="BR65" s="258">
        <f t="shared" si="42"/>
        <v>-1.6</v>
      </c>
      <c r="BS65" s="258"/>
      <c r="BT65" s="258">
        <f t="shared" si="142"/>
        <v>-1.6</v>
      </c>
      <c r="BU65" s="258">
        <f t="shared" si="143"/>
        <v>0</v>
      </c>
      <c r="BV65" s="258"/>
      <c r="BW65" s="258">
        <f t="shared" si="45"/>
        <v>0</v>
      </c>
      <c r="BX65" s="258"/>
      <c r="BY65" s="258">
        <f t="shared" si="142"/>
        <v>0</v>
      </c>
      <c r="BZ65" s="258">
        <f t="shared" si="143"/>
        <v>0</v>
      </c>
      <c r="CA65" s="258"/>
      <c r="CB65" s="258">
        <f t="shared" si="48"/>
        <v>0</v>
      </c>
      <c r="CC65" s="258"/>
      <c r="CD65" s="258">
        <f t="shared" si="142"/>
        <v>0</v>
      </c>
      <c r="CE65" s="258">
        <f t="shared" si="143"/>
        <v>0</v>
      </c>
      <c r="CF65" s="258"/>
      <c r="CG65" s="258">
        <f t="shared" si="51"/>
        <v>0</v>
      </c>
      <c r="CH65" s="258"/>
      <c r="CI65" s="258">
        <f t="shared" si="142"/>
        <v>0</v>
      </c>
      <c r="CJ65" s="258">
        <f t="shared" si="143"/>
        <v>0</v>
      </c>
      <c r="CK65" s="258"/>
      <c r="CL65" s="258">
        <f t="shared" si="54"/>
        <v>0</v>
      </c>
      <c r="CM65" s="258"/>
      <c r="CN65" s="258">
        <f t="shared" si="142"/>
        <v>0</v>
      </c>
      <c r="CO65" s="258">
        <f t="shared" si="143"/>
        <v>0</v>
      </c>
      <c r="CP65" s="258"/>
      <c r="CQ65" s="258">
        <f t="shared" si="57"/>
        <v>0</v>
      </c>
      <c r="CR65" s="258"/>
      <c r="CS65" s="258">
        <f t="shared" si="144"/>
        <v>0</v>
      </c>
      <c r="CT65" s="258">
        <f t="shared" si="145"/>
        <v>0</v>
      </c>
      <c r="CU65" s="258"/>
      <c r="CV65" s="258">
        <f t="shared" si="60"/>
        <v>0</v>
      </c>
      <c r="CW65" s="258"/>
      <c r="CX65" s="258">
        <f t="shared" si="144"/>
        <v>0</v>
      </c>
      <c r="CY65" s="258">
        <f t="shared" si="145"/>
        <v>0</v>
      </c>
      <c r="CZ65" s="258"/>
      <c r="DA65" s="258">
        <f t="shared" si="63"/>
        <v>0</v>
      </c>
      <c r="DB65" s="258"/>
      <c r="DC65" s="258">
        <f t="shared" si="144"/>
        <v>0</v>
      </c>
      <c r="DD65" s="258">
        <f t="shared" si="145"/>
        <v>0</v>
      </c>
      <c r="DE65" s="258"/>
      <c r="DF65" s="258">
        <f t="shared" si="66"/>
        <v>0</v>
      </c>
      <c r="DG65" s="258"/>
      <c r="DH65" s="258">
        <f t="shared" si="144"/>
        <v>0</v>
      </c>
      <c r="DI65" s="258">
        <f t="shared" si="145"/>
        <v>0</v>
      </c>
      <c r="DJ65" s="258"/>
      <c r="DK65" s="258">
        <f t="shared" si="69"/>
        <v>0</v>
      </c>
      <c r="DL65" s="258"/>
      <c r="DM65" s="258">
        <f t="shared" si="144"/>
        <v>0</v>
      </c>
      <c r="DN65" s="258">
        <f t="shared" si="145"/>
        <v>0</v>
      </c>
      <c r="DO65" s="258"/>
      <c r="DP65" s="258">
        <f t="shared" si="72"/>
        <v>0</v>
      </c>
      <c r="DQ65" s="258"/>
      <c r="DR65" s="258">
        <f t="shared" si="144"/>
        <v>0</v>
      </c>
      <c r="DS65" s="258">
        <f t="shared" si="145"/>
        <v>0</v>
      </c>
      <c r="DT65" s="258"/>
      <c r="DU65" s="258"/>
      <c r="DV65" s="258"/>
      <c r="DW65" s="258"/>
      <c r="DX65" s="258"/>
      <c r="DY65" s="258"/>
      <c r="DZ65" s="258"/>
      <c r="EA65" s="258"/>
      <c r="EB65" s="258"/>
      <c r="EC65" s="258"/>
      <c r="FB65" s="258"/>
      <c r="FC65" s="258"/>
      <c r="FD65" s="258"/>
      <c r="FE65" s="258"/>
      <c r="FF65" s="258"/>
      <c r="FG65" s="258"/>
      <c r="FH65" s="258"/>
      <c r="FI65" s="258"/>
      <c r="FK65" s="258"/>
      <c r="FM65" s="310"/>
      <c r="FN65" s="310"/>
      <c r="FO65" s="310"/>
      <c r="FP65" s="310"/>
      <c r="FQ65" s="310"/>
      <c r="FR65" s="310"/>
      <c r="FS65" s="310"/>
      <c r="FT65" s="310"/>
      <c r="FU65" s="126"/>
      <c r="FV65" s="126"/>
      <c r="FW65" s="126"/>
      <c r="FX65" s="126"/>
      <c r="FY65" s="126"/>
      <c r="FZ65" s="126"/>
      <c r="GA65" s="126"/>
      <c r="GB65" s="126"/>
      <c r="GC65" s="126"/>
      <c r="GD65" s="126"/>
    </row>
    <row r="66" spans="2:186" s="118" customFormat="1" ht="13.5" customHeight="1" x14ac:dyDescent="0.2">
      <c r="B66" s="158" t="str">
        <f>+B36</f>
        <v>WERREN, Steve</v>
      </c>
      <c r="C66" s="324"/>
      <c r="D66" s="324"/>
      <c r="E66" s="324"/>
      <c r="F66" s="258"/>
      <c r="G66" s="258"/>
      <c r="H66" s="258"/>
      <c r="I66" s="258"/>
      <c r="J66" s="258"/>
      <c r="K66" s="258"/>
      <c r="L66" s="258"/>
      <c r="M66" s="123"/>
      <c r="N66" s="258"/>
      <c r="O66" s="258"/>
      <c r="P66" s="258"/>
      <c r="Q66" s="330">
        <f t="shared" si="139"/>
        <v>0</v>
      </c>
      <c r="R66" s="258"/>
      <c r="S66" s="330">
        <f t="shared" si="76"/>
        <v>-0.8</v>
      </c>
      <c r="T66" s="258"/>
      <c r="U66" s="258"/>
      <c r="V66" s="258"/>
      <c r="W66" s="258"/>
      <c r="X66" s="122"/>
      <c r="Y66" s="258">
        <f t="shared" si="77"/>
        <v>0</v>
      </c>
      <c r="Z66" s="258"/>
      <c r="AA66" s="258">
        <f t="shared" si="140"/>
        <v>0</v>
      </c>
      <c r="AB66" s="258">
        <f t="shared" si="141"/>
        <v>0</v>
      </c>
      <c r="AC66" s="258"/>
      <c r="AD66" s="258">
        <f t="shared" si="18"/>
        <v>0</v>
      </c>
      <c r="AE66" s="258"/>
      <c r="AF66" s="258">
        <f t="shared" si="142"/>
        <v>0</v>
      </c>
      <c r="AG66" s="258">
        <f t="shared" si="143"/>
        <v>0</v>
      </c>
      <c r="AH66" s="258"/>
      <c r="AI66" s="258">
        <f t="shared" si="21"/>
        <v>0</v>
      </c>
      <c r="AJ66" s="258"/>
      <c r="AK66" s="258">
        <f t="shared" si="142"/>
        <v>0</v>
      </c>
      <c r="AL66" s="258">
        <f t="shared" si="143"/>
        <v>0</v>
      </c>
      <c r="AM66" s="258"/>
      <c r="AN66" s="258">
        <f t="shared" si="24"/>
        <v>0</v>
      </c>
      <c r="AO66" s="258"/>
      <c r="AP66" s="258">
        <f t="shared" si="142"/>
        <v>0</v>
      </c>
      <c r="AQ66" s="258">
        <f t="shared" si="143"/>
        <v>0</v>
      </c>
      <c r="AR66" s="258"/>
      <c r="AS66" s="258">
        <f t="shared" si="27"/>
        <v>0</v>
      </c>
      <c r="AT66" s="258"/>
      <c r="AU66" s="258">
        <f t="shared" si="142"/>
        <v>0</v>
      </c>
      <c r="AV66" s="258">
        <f t="shared" si="143"/>
        <v>0</v>
      </c>
      <c r="AW66" s="258"/>
      <c r="AX66" s="258">
        <f t="shared" si="30"/>
        <v>0</v>
      </c>
      <c r="AY66" s="258"/>
      <c r="AZ66" s="258">
        <f t="shared" si="142"/>
        <v>0</v>
      </c>
      <c r="BA66" s="258">
        <f t="shared" si="143"/>
        <v>0</v>
      </c>
      <c r="BB66" s="258"/>
      <c r="BC66" s="258">
        <f t="shared" si="33"/>
        <v>0</v>
      </c>
      <c r="BD66" s="258"/>
      <c r="BE66" s="258">
        <f t="shared" si="142"/>
        <v>0</v>
      </c>
      <c r="BF66" s="258">
        <f t="shared" si="143"/>
        <v>0</v>
      </c>
      <c r="BG66" s="258"/>
      <c r="BH66" s="258">
        <f t="shared" si="36"/>
        <v>0</v>
      </c>
      <c r="BI66" s="258"/>
      <c r="BJ66" s="258">
        <f t="shared" si="142"/>
        <v>0</v>
      </c>
      <c r="BK66" s="258">
        <f t="shared" si="143"/>
        <v>0</v>
      </c>
      <c r="BL66" s="258"/>
      <c r="BM66" s="258">
        <f t="shared" si="39"/>
        <v>0</v>
      </c>
      <c r="BN66" s="258"/>
      <c r="BO66" s="258">
        <f t="shared" si="142"/>
        <v>0</v>
      </c>
      <c r="BP66" s="258">
        <f t="shared" si="143"/>
        <v>0</v>
      </c>
      <c r="BQ66" s="258"/>
      <c r="BR66" s="258">
        <f t="shared" si="42"/>
        <v>-0.8</v>
      </c>
      <c r="BS66" s="258"/>
      <c r="BT66" s="258">
        <f t="shared" si="142"/>
        <v>-0.8</v>
      </c>
      <c r="BU66" s="258">
        <f t="shared" si="143"/>
        <v>0</v>
      </c>
      <c r="BV66" s="258"/>
      <c r="BW66" s="258">
        <f t="shared" si="45"/>
        <v>0</v>
      </c>
      <c r="BX66" s="258"/>
      <c r="BY66" s="258">
        <f t="shared" si="142"/>
        <v>0</v>
      </c>
      <c r="BZ66" s="258">
        <f t="shared" si="143"/>
        <v>0</v>
      </c>
      <c r="CA66" s="258"/>
      <c r="CB66" s="258">
        <f t="shared" si="48"/>
        <v>0</v>
      </c>
      <c r="CC66" s="258"/>
      <c r="CD66" s="258">
        <f t="shared" si="142"/>
        <v>0</v>
      </c>
      <c r="CE66" s="258">
        <f t="shared" si="143"/>
        <v>0</v>
      </c>
      <c r="CF66" s="258"/>
      <c r="CG66" s="258">
        <f t="shared" si="51"/>
        <v>0</v>
      </c>
      <c r="CH66" s="258"/>
      <c r="CI66" s="258">
        <f t="shared" si="142"/>
        <v>0</v>
      </c>
      <c r="CJ66" s="258">
        <f t="shared" si="143"/>
        <v>0</v>
      </c>
      <c r="CK66" s="258"/>
      <c r="CL66" s="258">
        <f t="shared" si="54"/>
        <v>0</v>
      </c>
      <c r="CM66" s="258"/>
      <c r="CN66" s="258">
        <f t="shared" si="142"/>
        <v>0</v>
      </c>
      <c r="CO66" s="258">
        <f t="shared" si="143"/>
        <v>0</v>
      </c>
      <c r="CP66" s="258"/>
      <c r="CQ66" s="258">
        <f t="shared" si="57"/>
        <v>0</v>
      </c>
      <c r="CR66" s="258"/>
      <c r="CS66" s="258">
        <f t="shared" si="144"/>
        <v>0</v>
      </c>
      <c r="CT66" s="258">
        <f t="shared" si="145"/>
        <v>0</v>
      </c>
      <c r="CU66" s="258"/>
      <c r="CV66" s="258">
        <f t="shared" si="60"/>
        <v>0</v>
      </c>
      <c r="CW66" s="258"/>
      <c r="CX66" s="258">
        <f t="shared" si="144"/>
        <v>0</v>
      </c>
      <c r="CY66" s="258">
        <f t="shared" si="145"/>
        <v>0</v>
      </c>
      <c r="CZ66" s="258"/>
      <c r="DA66" s="258">
        <f t="shared" si="63"/>
        <v>0</v>
      </c>
      <c r="DB66" s="258"/>
      <c r="DC66" s="258">
        <f t="shared" si="144"/>
        <v>0</v>
      </c>
      <c r="DD66" s="258">
        <f t="shared" si="145"/>
        <v>0</v>
      </c>
      <c r="DE66" s="258"/>
      <c r="DF66" s="258">
        <f t="shared" si="66"/>
        <v>0</v>
      </c>
      <c r="DG66" s="258"/>
      <c r="DH66" s="258">
        <f t="shared" si="144"/>
        <v>0</v>
      </c>
      <c r="DI66" s="258">
        <f t="shared" si="145"/>
        <v>0</v>
      </c>
      <c r="DJ66" s="258"/>
      <c r="DK66" s="258">
        <f t="shared" si="69"/>
        <v>0</v>
      </c>
      <c r="DL66" s="258"/>
      <c r="DM66" s="258">
        <f t="shared" si="144"/>
        <v>0</v>
      </c>
      <c r="DN66" s="258">
        <f t="shared" si="145"/>
        <v>0</v>
      </c>
      <c r="DO66" s="258"/>
      <c r="DP66" s="258">
        <f t="shared" si="72"/>
        <v>0</v>
      </c>
      <c r="DQ66" s="258"/>
      <c r="DR66" s="258">
        <f t="shared" si="144"/>
        <v>0</v>
      </c>
      <c r="DS66" s="258">
        <f t="shared" si="145"/>
        <v>0</v>
      </c>
      <c r="DT66" s="258"/>
      <c r="DU66" s="258"/>
      <c r="DV66" s="258"/>
      <c r="DW66" s="258"/>
      <c r="DX66" s="258"/>
      <c r="DY66" s="258"/>
      <c r="DZ66" s="258"/>
      <c r="EA66" s="258"/>
      <c r="EB66" s="258"/>
      <c r="EC66" s="258"/>
      <c r="FB66" s="258"/>
      <c r="FC66" s="258"/>
      <c r="FD66" s="258"/>
      <c r="FE66" s="258"/>
      <c r="FF66" s="258"/>
      <c r="FG66" s="258"/>
      <c r="FH66" s="258"/>
      <c r="FI66" s="258"/>
      <c r="FK66" s="258"/>
      <c r="FM66" s="310"/>
      <c r="FN66" s="310"/>
      <c r="FO66" s="310"/>
      <c r="FP66" s="310"/>
      <c r="FQ66" s="310"/>
      <c r="FR66" s="310"/>
      <c r="FS66" s="310"/>
      <c r="FT66" s="310"/>
      <c r="FU66" s="126"/>
      <c r="FV66" s="126"/>
      <c r="FW66" s="126"/>
      <c r="FX66" s="126"/>
      <c r="FY66" s="126"/>
      <c r="FZ66" s="126"/>
      <c r="GA66" s="126"/>
      <c r="GB66" s="126"/>
      <c r="GC66" s="126"/>
      <c r="GD66" s="126"/>
    </row>
    <row r="67" spans="2:186" s="118" customFormat="1" ht="13.5" customHeight="1" x14ac:dyDescent="0.2">
      <c r="B67" s="324"/>
      <c r="C67" s="324"/>
      <c r="D67" s="324"/>
      <c r="E67" s="324"/>
      <c r="F67" s="258"/>
      <c r="G67" s="258"/>
      <c r="H67" s="258"/>
      <c r="I67" s="258"/>
      <c r="J67" s="258"/>
      <c r="K67" s="258"/>
      <c r="L67" s="258"/>
      <c r="M67" s="123"/>
      <c r="N67" s="258"/>
      <c r="O67" s="258"/>
      <c r="P67" s="258"/>
      <c r="Q67" s="258"/>
      <c r="R67" s="258"/>
      <c r="S67" s="330"/>
      <c r="T67" s="258"/>
      <c r="U67" s="258"/>
      <c r="V67" s="258"/>
      <c r="W67" s="258"/>
      <c r="X67" s="122"/>
      <c r="Y67" s="258"/>
      <c r="Z67" s="258"/>
      <c r="AA67" s="258"/>
      <c r="AB67" s="258"/>
      <c r="AC67" s="258"/>
      <c r="AD67" s="258"/>
      <c r="AE67" s="258"/>
      <c r="AF67" s="258"/>
      <c r="AG67" s="258"/>
      <c r="AH67" s="258"/>
      <c r="AI67" s="258"/>
      <c r="AJ67" s="258"/>
      <c r="AK67" s="258"/>
      <c r="AL67" s="258"/>
      <c r="AM67" s="258"/>
      <c r="AN67" s="258"/>
      <c r="AO67" s="258"/>
      <c r="AP67" s="258"/>
      <c r="AQ67" s="258"/>
      <c r="AR67" s="258"/>
      <c r="AS67" s="258"/>
      <c r="AT67" s="258"/>
      <c r="AU67" s="258"/>
      <c r="AV67" s="258"/>
      <c r="AW67" s="258"/>
      <c r="AX67" s="258"/>
      <c r="AY67" s="258"/>
      <c r="AZ67" s="258"/>
      <c r="BA67" s="258"/>
      <c r="BB67" s="258"/>
      <c r="BC67" s="258"/>
      <c r="BD67" s="258"/>
      <c r="BE67" s="258"/>
      <c r="BF67" s="258"/>
      <c r="BG67" s="258"/>
      <c r="BH67" s="258"/>
      <c r="BI67" s="258"/>
      <c r="BJ67" s="258"/>
      <c r="BK67" s="258"/>
      <c r="BL67" s="258"/>
      <c r="BM67" s="258"/>
      <c r="BN67" s="258"/>
      <c r="BO67" s="258"/>
      <c r="BP67" s="258"/>
      <c r="BQ67" s="258"/>
      <c r="BR67" s="258"/>
      <c r="BS67" s="258"/>
      <c r="BT67" s="258"/>
      <c r="BU67" s="258"/>
      <c r="BV67" s="258"/>
      <c r="BW67" s="258"/>
      <c r="BX67" s="258"/>
      <c r="BY67" s="258"/>
      <c r="BZ67" s="258"/>
      <c r="CA67" s="258"/>
      <c r="CB67" s="258"/>
      <c r="CC67" s="258"/>
      <c r="CD67" s="258"/>
      <c r="CE67" s="258"/>
      <c r="CF67" s="258"/>
      <c r="CG67" s="258"/>
      <c r="CH67" s="258"/>
      <c r="CI67" s="258"/>
      <c r="CJ67" s="258"/>
      <c r="CK67" s="258"/>
      <c r="CL67" s="258"/>
      <c r="CM67" s="258"/>
      <c r="CN67" s="258"/>
      <c r="CO67" s="258"/>
      <c r="CP67" s="258"/>
      <c r="CQ67" s="258"/>
      <c r="CR67" s="258"/>
      <c r="CS67" s="258"/>
      <c r="CT67" s="258"/>
      <c r="CU67" s="258"/>
      <c r="CV67" s="258"/>
      <c r="CW67" s="258"/>
      <c r="CX67" s="258"/>
      <c r="CY67" s="258"/>
      <c r="CZ67" s="258"/>
      <c r="DA67" s="258"/>
      <c r="DB67" s="258"/>
      <c r="DC67" s="258"/>
      <c r="DD67" s="258"/>
      <c r="DE67" s="258"/>
      <c r="DF67" s="258"/>
      <c r="DG67" s="258"/>
      <c r="DH67" s="258"/>
      <c r="DI67" s="258"/>
      <c r="DJ67" s="258"/>
      <c r="DK67" s="258"/>
      <c r="DL67" s="258"/>
      <c r="DM67" s="258"/>
      <c r="DN67" s="258"/>
      <c r="DO67" s="258"/>
      <c r="DP67" s="258"/>
      <c r="DQ67" s="258"/>
      <c r="DR67" s="258"/>
      <c r="DS67" s="258"/>
      <c r="DT67" s="258"/>
      <c r="DU67" s="258"/>
      <c r="DV67" s="258"/>
      <c r="DW67" s="258"/>
      <c r="DX67" s="258"/>
      <c r="DY67" s="258"/>
      <c r="DZ67" s="258"/>
      <c r="EA67" s="258"/>
      <c r="EB67" s="258"/>
      <c r="EC67" s="258"/>
      <c r="FB67" s="258"/>
      <c r="FC67" s="258"/>
      <c r="FD67" s="258"/>
      <c r="FE67" s="258"/>
      <c r="FF67" s="258"/>
      <c r="FG67" s="258"/>
      <c r="FH67" s="258"/>
      <c r="FI67" s="258"/>
      <c r="FK67" s="258"/>
      <c r="FM67" s="310"/>
      <c r="FN67" s="310"/>
      <c r="FO67" s="310"/>
      <c r="FP67" s="310"/>
      <c r="FQ67" s="310"/>
      <c r="FR67" s="310"/>
      <c r="FS67" s="310"/>
      <c r="FT67" s="310"/>
      <c r="FU67" s="126"/>
      <c r="FV67" s="126"/>
      <c r="FW67" s="126"/>
      <c r="FX67" s="126"/>
      <c r="FY67" s="126"/>
      <c r="FZ67" s="126"/>
      <c r="GA67" s="126"/>
      <c r="GB67" s="126"/>
      <c r="GC67" s="126"/>
      <c r="GD67" s="126"/>
    </row>
    <row r="68" spans="2:186" s="118" customFormat="1" ht="13.5" customHeight="1" x14ac:dyDescent="0.2">
      <c r="B68" s="329" t="s">
        <v>71</v>
      </c>
      <c r="C68" s="324"/>
      <c r="D68" s="324"/>
      <c r="E68" s="324"/>
      <c r="F68" s="258"/>
      <c r="G68" s="258"/>
      <c r="H68" s="258"/>
      <c r="I68" s="258"/>
      <c r="J68" s="258"/>
      <c r="K68" s="258"/>
      <c r="L68" s="258"/>
      <c r="M68" s="124"/>
      <c r="N68" s="258"/>
      <c r="O68" s="258"/>
      <c r="P68" s="258"/>
      <c r="Q68" s="258"/>
      <c r="R68" s="258"/>
      <c r="S68" s="124"/>
      <c r="T68" s="124"/>
      <c r="U68" s="124"/>
      <c r="V68" s="124"/>
      <c r="W68" s="124"/>
      <c r="X68" s="122"/>
      <c r="Y68" s="330"/>
      <c r="Z68" s="330"/>
      <c r="AA68" s="330"/>
      <c r="AB68" s="330"/>
      <c r="AC68" s="123"/>
      <c r="AD68" s="330"/>
      <c r="AE68" s="330"/>
      <c r="AF68" s="330"/>
      <c r="AG68" s="330"/>
      <c r="AH68" s="123"/>
      <c r="AI68" s="330"/>
      <c r="AJ68" s="330"/>
      <c r="AK68" s="330"/>
      <c r="AL68" s="330"/>
      <c r="AM68" s="123"/>
      <c r="AN68" s="330"/>
      <c r="AO68" s="330"/>
      <c r="AP68" s="330"/>
      <c r="AQ68" s="330"/>
      <c r="AR68" s="123"/>
      <c r="AS68" s="330"/>
      <c r="AT68" s="330"/>
      <c r="AU68" s="330"/>
      <c r="AV68" s="330"/>
      <c r="AW68" s="123"/>
      <c r="AX68" s="330"/>
      <c r="AY68" s="330"/>
      <c r="AZ68" s="330"/>
      <c r="BA68" s="330"/>
      <c r="BB68" s="123"/>
      <c r="BC68" s="330"/>
      <c r="BD68" s="330"/>
      <c r="BE68" s="330"/>
      <c r="BF68" s="330"/>
      <c r="BG68" s="123"/>
      <c r="BH68" s="330"/>
      <c r="BI68" s="330"/>
      <c r="BJ68" s="330"/>
      <c r="BK68" s="330"/>
      <c r="BL68" s="123"/>
      <c r="BM68" s="330"/>
      <c r="BN68" s="330"/>
      <c r="BO68" s="330"/>
      <c r="BP68" s="330"/>
      <c r="BQ68" s="123"/>
      <c r="BR68" s="330"/>
      <c r="BS68" s="330"/>
      <c r="BT68" s="330"/>
      <c r="BU68" s="330"/>
      <c r="BV68" s="123"/>
      <c r="BW68" s="330"/>
      <c r="BX68" s="330"/>
      <c r="BY68" s="330"/>
      <c r="BZ68" s="330"/>
      <c r="CA68" s="123"/>
      <c r="CB68" s="330"/>
      <c r="CC68" s="330"/>
      <c r="CD68" s="330"/>
      <c r="CE68" s="330"/>
      <c r="CF68" s="123"/>
      <c r="CG68" s="330"/>
      <c r="CH68" s="330"/>
      <c r="CI68" s="330"/>
      <c r="CJ68" s="330"/>
      <c r="CK68" s="123"/>
      <c r="CL68" s="330"/>
      <c r="CM68" s="330"/>
      <c r="CN68" s="330"/>
      <c r="CO68" s="330"/>
      <c r="CP68" s="123"/>
      <c r="CQ68" s="330"/>
      <c r="CR68" s="330"/>
      <c r="CS68" s="330"/>
      <c r="CT68" s="330"/>
      <c r="CU68" s="123"/>
      <c r="CV68" s="330"/>
      <c r="CW68" s="330"/>
      <c r="CX68" s="330"/>
      <c r="CY68" s="330"/>
      <c r="CZ68" s="123"/>
      <c r="DA68" s="330"/>
      <c r="DB68" s="330"/>
      <c r="DC68" s="330"/>
      <c r="DD68" s="330"/>
      <c r="DE68" s="123"/>
      <c r="DF68" s="330"/>
      <c r="DG68" s="330"/>
      <c r="DH68" s="330"/>
      <c r="DI68" s="330"/>
      <c r="DJ68" s="123"/>
      <c r="DK68" s="330"/>
      <c r="DL68" s="330"/>
      <c r="DM68" s="330"/>
      <c r="DN68" s="330"/>
      <c r="DO68" s="123"/>
      <c r="DP68" s="330"/>
      <c r="DQ68" s="330"/>
      <c r="DR68" s="330"/>
      <c r="DS68" s="330"/>
      <c r="DT68" s="123"/>
      <c r="DU68" s="303"/>
      <c r="DV68" s="303"/>
      <c r="DW68" s="303"/>
      <c r="DX68" s="303"/>
      <c r="DY68" s="258"/>
      <c r="DZ68" s="303"/>
      <c r="EA68" s="303"/>
      <c r="EY68" s="154"/>
      <c r="EZ68" s="154"/>
      <c r="FA68" s="154"/>
      <c r="FB68" s="154"/>
      <c r="FM68" s="303"/>
      <c r="FN68" s="303"/>
      <c r="FO68" s="303"/>
      <c r="FP68" s="303"/>
      <c r="FQ68" s="303"/>
      <c r="FR68" s="303"/>
      <c r="FS68" s="303"/>
      <c r="FT68" s="303"/>
    </row>
    <row r="69" spans="2:186" s="118" customFormat="1" ht="13.5" customHeight="1" x14ac:dyDescent="0.2">
      <c r="B69" s="475" t="s">
        <v>72</v>
      </c>
      <c r="C69" s="425"/>
      <c r="D69" s="425"/>
      <c r="E69" s="425"/>
      <c r="F69" s="425"/>
      <c r="G69" s="425"/>
      <c r="H69" s="425"/>
      <c r="I69" s="425"/>
      <c r="J69" s="425"/>
      <c r="K69" s="425"/>
      <c r="L69" s="425"/>
      <c r="M69" s="425"/>
      <c r="N69" s="124"/>
      <c r="O69" s="124"/>
      <c r="P69" s="124"/>
      <c r="Q69" s="124"/>
      <c r="R69" s="124"/>
      <c r="S69" s="124"/>
      <c r="T69" s="124"/>
      <c r="U69" s="124"/>
      <c r="V69" s="124"/>
      <c r="W69" s="124"/>
      <c r="X69" s="122"/>
      <c r="Y69" s="124"/>
      <c r="Z69" s="124"/>
      <c r="AA69" s="124"/>
      <c r="AB69" s="124"/>
      <c r="AC69" s="122"/>
      <c r="AD69" s="124"/>
      <c r="AE69" s="124"/>
      <c r="AF69" s="124"/>
      <c r="AG69" s="124"/>
      <c r="AH69" s="122"/>
      <c r="AI69" s="124"/>
      <c r="AJ69" s="124"/>
      <c r="AK69" s="124"/>
      <c r="AL69" s="124"/>
      <c r="AM69" s="122"/>
      <c r="AN69" s="124"/>
      <c r="AO69" s="124"/>
      <c r="AP69" s="124"/>
      <c r="AQ69" s="124"/>
      <c r="AR69" s="122"/>
      <c r="AS69" s="124"/>
      <c r="AT69" s="124"/>
      <c r="AU69" s="124"/>
      <c r="AV69" s="124"/>
      <c r="AW69" s="122"/>
      <c r="AX69" s="124"/>
      <c r="AY69" s="124"/>
      <c r="AZ69" s="124"/>
      <c r="BA69" s="124"/>
      <c r="BB69" s="122"/>
      <c r="BC69" s="124"/>
      <c r="BD69" s="124"/>
      <c r="BE69" s="124"/>
      <c r="BF69" s="124"/>
      <c r="BG69" s="122"/>
      <c r="BH69" s="124"/>
      <c r="BI69" s="124"/>
      <c r="BJ69" s="124"/>
      <c r="BK69" s="124"/>
      <c r="BL69" s="122"/>
      <c r="BM69" s="124"/>
      <c r="BN69" s="124"/>
      <c r="BO69" s="124"/>
      <c r="BP69" s="124"/>
      <c r="BQ69" s="122"/>
      <c r="BR69" s="124"/>
      <c r="BS69" s="124"/>
      <c r="BT69" s="124"/>
      <c r="BU69" s="124"/>
      <c r="BV69" s="122"/>
      <c r="BW69" s="124"/>
      <c r="BX69" s="124"/>
      <c r="BY69" s="124"/>
      <c r="BZ69" s="124"/>
      <c r="CA69" s="122"/>
      <c r="CB69" s="124"/>
      <c r="CC69" s="124"/>
      <c r="CD69" s="124"/>
      <c r="CE69" s="124"/>
      <c r="CF69" s="122"/>
      <c r="CG69" s="124"/>
      <c r="CH69" s="124"/>
      <c r="CI69" s="124"/>
      <c r="CJ69" s="124"/>
      <c r="CK69" s="122"/>
      <c r="CL69" s="124"/>
      <c r="CM69" s="124"/>
      <c r="CN69" s="124"/>
      <c r="CO69" s="124"/>
      <c r="CP69" s="122"/>
      <c r="CQ69" s="124"/>
      <c r="CR69" s="124"/>
      <c r="CS69" s="124"/>
      <c r="CT69" s="124"/>
      <c r="CU69" s="122"/>
      <c r="CV69" s="124"/>
      <c r="CW69" s="124"/>
      <c r="CX69" s="124"/>
      <c r="CY69" s="124"/>
      <c r="CZ69" s="122"/>
      <c r="DA69" s="124"/>
      <c r="DB69" s="124"/>
      <c r="DC69" s="124"/>
      <c r="DD69" s="124"/>
      <c r="DE69" s="122"/>
      <c r="DF69" s="124"/>
      <c r="DG69" s="124"/>
      <c r="DH69" s="124"/>
      <c r="DI69" s="124"/>
      <c r="DJ69" s="122"/>
      <c r="DK69" s="124"/>
      <c r="DL69" s="124"/>
      <c r="DM69" s="124"/>
      <c r="DN69" s="124"/>
      <c r="DO69" s="122"/>
      <c r="DP69" s="124"/>
      <c r="DQ69" s="124"/>
      <c r="DR69" s="124"/>
      <c r="DS69" s="124"/>
      <c r="DT69" s="122"/>
      <c r="DU69" s="303"/>
      <c r="DV69" s="303"/>
      <c r="DW69" s="303"/>
      <c r="DX69" s="303"/>
      <c r="DY69" s="124"/>
      <c r="DZ69" s="303"/>
      <c r="EA69" s="303"/>
      <c r="EY69" s="154"/>
      <c r="EZ69" s="154"/>
      <c r="FA69" s="154"/>
      <c r="FB69" s="154"/>
    </row>
    <row r="70" spans="2:186" s="118" customFormat="1" ht="13.5" customHeight="1" x14ac:dyDescent="0.2">
      <c r="B70" s="475" t="s">
        <v>73</v>
      </c>
      <c r="C70" s="425"/>
      <c r="D70" s="425"/>
      <c r="E70" s="425"/>
      <c r="F70" s="425"/>
      <c r="G70" s="425"/>
      <c r="H70" s="425"/>
      <c r="I70" s="425"/>
      <c r="J70" s="425"/>
      <c r="K70" s="425"/>
      <c r="L70" s="425"/>
      <c r="M70" s="425"/>
      <c r="N70" s="124"/>
      <c r="O70" s="124"/>
      <c r="P70" s="124"/>
      <c r="Q70" s="124"/>
      <c r="R70" s="124"/>
      <c r="S70" s="124"/>
      <c r="T70" s="124"/>
      <c r="U70" s="124"/>
      <c r="V70" s="124"/>
      <c r="W70" s="124"/>
      <c r="X70" s="122"/>
      <c r="Y70" s="124"/>
      <c r="Z70" s="124"/>
      <c r="AA70" s="124"/>
      <c r="AB70" s="124"/>
      <c r="AC70" s="122"/>
      <c r="AD70" s="124"/>
      <c r="AE70" s="124"/>
      <c r="AF70" s="124"/>
      <c r="AG70" s="124"/>
      <c r="AH70" s="122"/>
      <c r="AI70" s="124"/>
      <c r="AJ70" s="124"/>
      <c r="AK70" s="124"/>
      <c r="AL70" s="124"/>
      <c r="AM70" s="122"/>
      <c r="AN70" s="124"/>
      <c r="AO70" s="124"/>
      <c r="AP70" s="124"/>
      <c r="AQ70" s="124"/>
      <c r="AR70" s="122"/>
      <c r="AS70" s="124"/>
      <c r="AT70" s="124"/>
      <c r="AU70" s="124"/>
      <c r="AV70" s="124"/>
      <c r="AW70" s="122"/>
      <c r="AX70" s="124"/>
      <c r="AY70" s="124"/>
      <c r="AZ70" s="124"/>
      <c r="BA70" s="124"/>
      <c r="BB70" s="122"/>
      <c r="BC70" s="124"/>
      <c r="BD70" s="124"/>
      <c r="BE70" s="124"/>
      <c r="BF70" s="124"/>
      <c r="BG70" s="122"/>
      <c r="BH70" s="124"/>
      <c r="BI70" s="124"/>
      <c r="BJ70" s="124"/>
      <c r="BK70" s="124"/>
      <c r="BL70" s="122"/>
      <c r="BM70" s="124"/>
      <c r="BN70" s="124"/>
      <c r="BO70" s="124"/>
      <c r="BP70" s="124"/>
      <c r="BQ70" s="122"/>
      <c r="BR70" s="124"/>
      <c r="BS70" s="124"/>
      <c r="BT70" s="124"/>
      <c r="BU70" s="124"/>
      <c r="BV70" s="122"/>
      <c r="BW70" s="124"/>
      <c r="BX70" s="124"/>
      <c r="BY70" s="124"/>
      <c r="BZ70" s="124"/>
      <c r="CA70" s="122"/>
      <c r="CB70" s="124"/>
      <c r="CC70" s="124"/>
      <c r="CD70" s="124"/>
      <c r="CE70" s="124"/>
      <c r="CF70" s="122"/>
      <c r="CG70" s="124"/>
      <c r="CH70" s="124"/>
      <c r="CI70" s="124"/>
      <c r="CJ70" s="124"/>
      <c r="CK70" s="122"/>
      <c r="CL70" s="124"/>
      <c r="CM70" s="124"/>
      <c r="CN70" s="124"/>
      <c r="CO70" s="124"/>
      <c r="CP70" s="122"/>
      <c r="CQ70" s="124"/>
      <c r="CR70" s="124"/>
      <c r="CS70" s="124"/>
      <c r="CT70" s="124"/>
      <c r="CU70" s="122"/>
      <c r="CV70" s="124"/>
      <c r="CW70" s="124"/>
      <c r="CX70" s="124"/>
      <c r="CY70" s="124"/>
      <c r="CZ70" s="122"/>
      <c r="DA70" s="124"/>
      <c r="DB70" s="124"/>
      <c r="DC70" s="124"/>
      <c r="DD70" s="124"/>
      <c r="DE70" s="122"/>
      <c r="DF70" s="124"/>
      <c r="DG70" s="124"/>
      <c r="DH70" s="124"/>
      <c r="DI70" s="124"/>
      <c r="DJ70" s="122"/>
      <c r="DK70" s="124"/>
      <c r="DL70" s="124"/>
      <c r="DM70" s="124"/>
      <c r="DN70" s="124"/>
      <c r="DO70" s="122"/>
      <c r="DP70" s="124"/>
      <c r="DQ70" s="124"/>
      <c r="DR70" s="124"/>
      <c r="DS70" s="124"/>
      <c r="DT70" s="122"/>
      <c r="DU70" s="303"/>
      <c r="DV70" s="303"/>
      <c r="DW70" s="303"/>
      <c r="DX70" s="303"/>
      <c r="DY70" s="124"/>
      <c r="DZ70" s="303"/>
      <c r="EA70" s="303"/>
    </row>
    <row r="71" spans="2:186" s="118" customFormat="1" ht="13.5" customHeight="1" x14ac:dyDescent="0.2">
      <c r="B71" s="475" t="s">
        <v>74</v>
      </c>
      <c r="C71" s="425"/>
      <c r="D71" s="425"/>
      <c r="E71" s="425"/>
      <c r="F71" s="425"/>
      <c r="G71" s="425"/>
      <c r="H71" s="425"/>
      <c r="I71" s="425"/>
      <c r="J71" s="425"/>
      <c r="K71" s="425"/>
      <c r="L71" s="425"/>
      <c r="M71" s="425"/>
      <c r="N71" s="124"/>
      <c r="O71" s="124"/>
      <c r="P71" s="124"/>
      <c r="Q71" s="124"/>
      <c r="R71" s="124"/>
      <c r="S71" s="124"/>
      <c r="T71" s="124"/>
      <c r="U71" s="124"/>
      <c r="V71" s="124"/>
      <c r="W71" s="124"/>
      <c r="X71" s="122"/>
      <c r="Y71" s="124"/>
      <c r="Z71" s="124"/>
      <c r="AA71" s="124"/>
      <c r="AB71" s="124"/>
      <c r="AC71" s="122"/>
      <c r="AD71" s="124"/>
      <c r="AE71" s="124"/>
      <c r="AF71" s="124"/>
      <c r="AG71" s="124"/>
      <c r="AH71" s="122"/>
      <c r="AI71" s="124"/>
      <c r="AJ71" s="124"/>
      <c r="AK71" s="124"/>
      <c r="AL71" s="124"/>
      <c r="AM71" s="122"/>
      <c r="AN71" s="124"/>
      <c r="AO71" s="124"/>
      <c r="AP71" s="124"/>
      <c r="AQ71" s="124"/>
      <c r="AR71" s="122"/>
      <c r="AS71" s="124"/>
      <c r="AT71" s="124"/>
      <c r="AU71" s="124"/>
      <c r="AV71" s="124"/>
      <c r="AW71" s="122"/>
      <c r="AX71" s="124"/>
      <c r="AY71" s="124"/>
      <c r="AZ71" s="124"/>
      <c r="BA71" s="124"/>
      <c r="BB71" s="122"/>
      <c r="BC71" s="124"/>
      <c r="BD71" s="124"/>
      <c r="BE71" s="124"/>
      <c r="BF71" s="124"/>
      <c r="BG71" s="122"/>
      <c r="BH71" s="124"/>
      <c r="BI71" s="124"/>
      <c r="BJ71" s="124"/>
      <c r="BK71" s="124"/>
      <c r="BL71" s="122"/>
      <c r="BM71" s="124"/>
      <c r="BN71" s="124"/>
      <c r="BO71" s="124"/>
      <c r="BP71" s="124"/>
      <c r="BQ71" s="122"/>
      <c r="BR71" s="124"/>
      <c r="BS71" s="124"/>
      <c r="BT71" s="124"/>
      <c r="BU71" s="124"/>
      <c r="BV71" s="122"/>
      <c r="BW71" s="124"/>
      <c r="BX71" s="124"/>
      <c r="BY71" s="124"/>
      <c r="BZ71" s="124"/>
      <c r="CA71" s="122"/>
      <c r="CB71" s="124"/>
      <c r="CC71" s="124"/>
      <c r="CD71" s="124"/>
      <c r="CE71" s="124"/>
      <c r="CF71" s="122"/>
      <c r="CG71" s="124"/>
      <c r="CH71" s="124"/>
      <c r="CI71" s="124"/>
      <c r="CJ71" s="124"/>
      <c r="CK71" s="122"/>
      <c r="CL71" s="124"/>
      <c r="CM71" s="124"/>
      <c r="CN71" s="124"/>
      <c r="CO71" s="124"/>
      <c r="CP71" s="122"/>
      <c r="CQ71" s="124"/>
      <c r="CR71" s="124"/>
      <c r="CS71" s="124"/>
      <c r="CT71" s="124"/>
      <c r="CU71" s="122"/>
      <c r="CV71" s="124"/>
      <c r="CW71" s="124"/>
      <c r="CX71" s="124"/>
      <c r="CY71" s="124"/>
      <c r="CZ71" s="122"/>
      <c r="DA71" s="124"/>
      <c r="DB71" s="124"/>
      <c r="DC71" s="124"/>
      <c r="DD71" s="124"/>
      <c r="DE71" s="122"/>
      <c r="DF71" s="124"/>
      <c r="DG71" s="124"/>
      <c r="DH71" s="124"/>
      <c r="DI71" s="124"/>
      <c r="DJ71" s="122"/>
      <c r="DK71" s="124"/>
      <c r="DL71" s="124"/>
      <c r="DM71" s="124"/>
      <c r="DN71" s="124"/>
      <c r="DO71" s="122"/>
      <c r="DP71" s="124"/>
      <c r="DQ71" s="124"/>
      <c r="DR71" s="124"/>
      <c r="DS71" s="124"/>
      <c r="DT71" s="122"/>
      <c r="DU71" s="303"/>
      <c r="DV71" s="303"/>
      <c r="DW71" s="303"/>
      <c r="DX71" s="303"/>
      <c r="DY71" s="124"/>
      <c r="DZ71" s="303"/>
      <c r="EA71" s="303"/>
    </row>
    <row r="72" spans="2:186" s="118" customFormat="1" ht="13.5" customHeight="1" x14ac:dyDescent="0.2">
      <c r="B72" s="331"/>
      <c r="C72" s="145"/>
      <c r="D72" s="145"/>
      <c r="E72" s="145"/>
      <c r="F72" s="145"/>
      <c r="G72" s="145"/>
      <c r="H72" s="145"/>
      <c r="I72" s="145"/>
      <c r="J72" s="145"/>
      <c r="K72" s="145"/>
      <c r="L72" s="145"/>
      <c r="M72" s="145"/>
      <c r="N72" s="124"/>
      <c r="O72" s="124"/>
      <c r="P72" s="124"/>
      <c r="Q72" s="124"/>
      <c r="R72" s="124"/>
      <c r="S72" s="124"/>
      <c r="T72" s="124"/>
      <c r="U72" s="124"/>
      <c r="V72" s="124"/>
      <c r="W72" s="124"/>
      <c r="X72" s="122"/>
      <c r="Y72" s="124"/>
      <c r="Z72" s="124"/>
      <c r="AA72" s="124"/>
      <c r="AB72" s="124"/>
      <c r="AC72" s="122"/>
      <c r="AD72" s="124"/>
      <c r="AE72" s="124"/>
      <c r="AF72" s="124"/>
      <c r="AG72" s="124"/>
      <c r="AH72" s="122"/>
      <c r="AI72" s="124"/>
      <c r="AJ72" s="124"/>
      <c r="AK72" s="124"/>
      <c r="AL72" s="124"/>
      <c r="AM72" s="122"/>
      <c r="AN72" s="124"/>
      <c r="AO72" s="124"/>
      <c r="AP72" s="124"/>
      <c r="AQ72" s="124"/>
      <c r="AR72" s="122"/>
      <c r="AS72" s="124"/>
      <c r="AT72" s="124"/>
      <c r="AU72" s="124"/>
      <c r="AV72" s="124"/>
      <c r="AW72" s="122"/>
      <c r="AX72" s="124"/>
      <c r="AY72" s="124"/>
      <c r="AZ72" s="124"/>
      <c r="BA72" s="124"/>
      <c r="BB72" s="122"/>
      <c r="BC72" s="124"/>
      <c r="BD72" s="124"/>
      <c r="BE72" s="124"/>
      <c r="BF72" s="124"/>
      <c r="BG72" s="122"/>
      <c r="BH72" s="124"/>
      <c r="BI72" s="124"/>
      <c r="BJ72" s="124"/>
      <c r="BK72" s="124"/>
      <c r="BL72" s="122"/>
      <c r="BM72" s="124"/>
      <c r="BN72" s="124"/>
      <c r="BO72" s="124"/>
      <c r="BP72" s="124"/>
      <c r="BQ72" s="122"/>
      <c r="BR72" s="124"/>
      <c r="BS72" s="124"/>
      <c r="BT72" s="124"/>
      <c r="BU72" s="124"/>
      <c r="BV72" s="122"/>
      <c r="BW72" s="124"/>
      <c r="BX72" s="124"/>
      <c r="BY72" s="124"/>
      <c r="BZ72" s="124"/>
      <c r="CA72" s="122"/>
      <c r="CB72" s="124"/>
      <c r="CC72" s="124"/>
      <c r="CD72" s="124"/>
      <c r="CE72" s="124"/>
      <c r="CF72" s="122"/>
      <c r="CG72" s="124"/>
      <c r="CH72" s="124"/>
      <c r="CI72" s="124"/>
      <c r="CJ72" s="124"/>
      <c r="CK72" s="122"/>
      <c r="CL72" s="124"/>
      <c r="CM72" s="124"/>
      <c r="CN72" s="124"/>
      <c r="CO72" s="124"/>
      <c r="CP72" s="122"/>
      <c r="CQ72" s="124"/>
      <c r="CR72" s="124"/>
      <c r="CS72" s="124"/>
      <c r="CT72" s="124"/>
      <c r="CU72" s="122"/>
      <c r="CV72" s="124"/>
      <c r="CW72" s="124"/>
      <c r="CX72" s="124"/>
      <c r="CY72" s="124"/>
      <c r="CZ72" s="122"/>
      <c r="DA72" s="124"/>
      <c r="DB72" s="124"/>
      <c r="DC72" s="124"/>
      <c r="DD72" s="124"/>
      <c r="DE72" s="122"/>
      <c r="DF72" s="124"/>
      <c r="DG72" s="124"/>
      <c r="DH72" s="124"/>
      <c r="DI72" s="124"/>
      <c r="DJ72" s="122"/>
      <c r="DK72" s="124"/>
      <c r="DL72" s="124"/>
      <c r="DM72" s="124"/>
      <c r="DN72" s="124"/>
      <c r="DO72" s="122"/>
      <c r="DP72" s="124"/>
      <c r="DQ72" s="124"/>
      <c r="DR72" s="124"/>
      <c r="DS72" s="124"/>
      <c r="DT72" s="122"/>
      <c r="DU72" s="303"/>
      <c r="DV72" s="303"/>
      <c r="DW72" s="303"/>
      <c r="DX72" s="303"/>
      <c r="DY72" s="124"/>
      <c r="DZ72" s="303"/>
      <c r="EA72" s="303"/>
    </row>
    <row r="73" spans="2:186" s="118" customFormat="1" ht="13.5" customHeight="1" x14ac:dyDescent="0.2">
      <c r="B73" s="150" t="s">
        <v>119</v>
      </c>
      <c r="C73" s="117"/>
      <c r="D73" s="117"/>
      <c r="E73" s="117"/>
      <c r="F73" s="117"/>
      <c r="G73" s="117"/>
      <c r="H73" s="117"/>
      <c r="I73" s="117"/>
      <c r="J73" s="117"/>
      <c r="K73" s="117"/>
      <c r="L73" s="117"/>
      <c r="M73" s="117"/>
      <c r="N73" s="117"/>
      <c r="O73" s="117"/>
      <c r="P73" s="117"/>
      <c r="Q73" s="124"/>
      <c r="R73" s="124"/>
      <c r="S73" s="124"/>
      <c r="T73" s="124"/>
      <c r="U73" s="124"/>
      <c r="V73" s="124"/>
      <c r="W73" s="124"/>
      <c r="X73" s="122"/>
      <c r="Y73" s="124"/>
      <c r="Z73" s="124"/>
      <c r="AA73" s="124"/>
      <c r="AB73" s="124"/>
      <c r="AC73" s="122"/>
      <c r="AD73" s="124"/>
      <c r="AE73" s="124"/>
      <c r="AF73" s="124"/>
      <c r="AG73" s="124"/>
      <c r="AH73" s="122"/>
      <c r="AI73" s="124"/>
      <c r="AJ73" s="124"/>
      <c r="AK73" s="124"/>
      <c r="AL73" s="124"/>
      <c r="AM73" s="122"/>
      <c r="AN73" s="124"/>
      <c r="AO73" s="124"/>
      <c r="AP73" s="124"/>
      <c r="AQ73" s="124"/>
      <c r="AR73" s="122"/>
      <c r="AS73" s="124"/>
      <c r="AT73" s="124"/>
      <c r="AU73" s="124"/>
      <c r="AV73" s="124"/>
      <c r="AW73" s="122"/>
      <c r="AX73" s="124"/>
      <c r="AY73" s="124"/>
      <c r="AZ73" s="124"/>
      <c r="BA73" s="124"/>
      <c r="BB73" s="122"/>
      <c r="BC73" s="124"/>
      <c r="BD73" s="124"/>
      <c r="BE73" s="124"/>
      <c r="BF73" s="124"/>
      <c r="BG73" s="122"/>
      <c r="BH73" s="124"/>
      <c r="BI73" s="124"/>
      <c r="BJ73" s="124"/>
      <c r="BK73" s="124"/>
      <c r="BL73" s="122"/>
      <c r="BM73" s="124"/>
      <c r="BN73" s="124"/>
      <c r="BO73" s="124"/>
      <c r="BP73" s="124"/>
      <c r="BQ73" s="122"/>
      <c r="BR73" s="124"/>
      <c r="BS73" s="124"/>
      <c r="BT73" s="124"/>
      <c r="BU73" s="124"/>
      <c r="BV73" s="122"/>
      <c r="BW73" s="124"/>
      <c r="BX73" s="124"/>
      <c r="BY73" s="124"/>
      <c r="BZ73" s="124"/>
      <c r="CA73" s="122"/>
      <c r="CB73" s="124"/>
      <c r="CC73" s="124"/>
      <c r="CD73" s="124"/>
      <c r="CE73" s="124"/>
      <c r="CF73" s="122"/>
      <c r="CG73" s="124"/>
      <c r="CH73" s="124"/>
      <c r="CI73" s="124"/>
      <c r="CJ73" s="124"/>
      <c r="CK73" s="122"/>
      <c r="CL73" s="124"/>
      <c r="CM73" s="124"/>
      <c r="CN73" s="124"/>
      <c r="CO73" s="124"/>
      <c r="CP73" s="122"/>
      <c r="CQ73" s="124"/>
      <c r="CR73" s="124"/>
      <c r="CS73" s="124"/>
      <c r="CT73" s="124"/>
      <c r="CU73" s="122"/>
      <c r="CV73" s="124"/>
      <c r="CW73" s="124"/>
      <c r="CX73" s="124"/>
      <c r="CY73" s="124"/>
      <c r="CZ73" s="122"/>
      <c r="DA73" s="124"/>
      <c r="DB73" s="124"/>
      <c r="DC73" s="124"/>
      <c r="DD73" s="124"/>
      <c r="DE73" s="122"/>
      <c r="DF73" s="124"/>
      <c r="DG73" s="124"/>
      <c r="DH73" s="124"/>
      <c r="DI73" s="124"/>
      <c r="DJ73" s="122"/>
      <c r="DK73" s="124"/>
      <c r="DL73" s="124"/>
      <c r="DM73" s="124"/>
      <c r="DN73" s="124"/>
      <c r="DO73" s="122"/>
      <c r="DP73" s="124"/>
      <c r="DQ73" s="124"/>
      <c r="DR73" s="124"/>
      <c r="DS73" s="124"/>
      <c r="DT73" s="122"/>
      <c r="DU73" s="303"/>
      <c r="DV73" s="303"/>
      <c r="DW73" s="303"/>
      <c r="DX73" s="303"/>
      <c r="DY73" s="124"/>
      <c r="DZ73" s="303"/>
      <c r="EA73" s="303"/>
    </row>
    <row r="74" spans="2:186" s="118" customFormat="1" ht="13.5" customHeight="1" x14ac:dyDescent="0.2">
      <c r="B74" s="329"/>
      <c r="C74" s="124"/>
      <c r="D74" s="124"/>
      <c r="E74" s="124"/>
      <c r="F74" s="124"/>
      <c r="G74" s="124"/>
      <c r="H74" s="124"/>
      <c r="I74" s="124"/>
      <c r="J74" s="124"/>
      <c r="K74" s="124"/>
      <c r="L74" s="124"/>
      <c r="M74" s="124"/>
      <c r="N74" s="124"/>
      <c r="O74" s="124"/>
      <c r="P74" s="124"/>
      <c r="Q74" s="124"/>
      <c r="R74" s="124"/>
      <c r="S74" s="124"/>
      <c r="T74" s="124"/>
      <c r="U74" s="124"/>
      <c r="V74" s="124"/>
      <c r="W74" s="124"/>
      <c r="X74" s="122"/>
      <c r="Y74" s="124"/>
      <c r="Z74" s="124"/>
      <c r="AA74" s="124"/>
      <c r="AB74" s="124"/>
      <c r="AC74" s="122"/>
      <c r="AD74" s="124"/>
      <c r="AE74" s="124"/>
      <c r="AF74" s="124"/>
      <c r="AG74" s="124"/>
      <c r="AH74" s="122"/>
      <c r="AI74" s="124"/>
      <c r="AJ74" s="124"/>
      <c r="AK74" s="124"/>
      <c r="AL74" s="124"/>
      <c r="AM74" s="122"/>
      <c r="AN74" s="124"/>
      <c r="AO74" s="124"/>
      <c r="AP74" s="124"/>
      <c r="AQ74" s="124"/>
      <c r="AR74" s="122"/>
      <c r="AS74" s="124"/>
      <c r="AT74" s="124"/>
      <c r="AU74" s="124"/>
      <c r="AV74" s="124"/>
      <c r="AW74" s="122"/>
      <c r="AX74" s="124"/>
      <c r="AY74" s="124"/>
      <c r="AZ74" s="124"/>
      <c r="BA74" s="124"/>
      <c r="BB74" s="122"/>
      <c r="BC74" s="124"/>
      <c r="BD74" s="124"/>
      <c r="BE74" s="124"/>
      <c r="BF74" s="124"/>
      <c r="BG74" s="122"/>
      <c r="BH74" s="124"/>
      <c r="BI74" s="124"/>
      <c r="BJ74" s="124"/>
      <c r="BK74" s="124"/>
      <c r="BL74" s="122"/>
      <c r="BM74" s="124"/>
      <c r="BN74" s="124"/>
      <c r="BO74" s="124"/>
      <c r="BP74" s="124"/>
      <c r="BQ74" s="122"/>
      <c r="BR74" s="124"/>
      <c r="BS74" s="124"/>
      <c r="BT74" s="124"/>
      <c r="BU74" s="124"/>
      <c r="BV74" s="122"/>
      <c r="BW74" s="124"/>
      <c r="BX74" s="124"/>
      <c r="BY74" s="124"/>
      <c r="BZ74" s="124"/>
      <c r="CA74" s="122"/>
      <c r="CB74" s="124"/>
      <c r="CC74" s="124"/>
      <c r="CD74" s="124"/>
      <c r="CE74" s="124"/>
      <c r="CF74" s="122"/>
      <c r="CG74" s="124"/>
      <c r="CH74" s="124"/>
      <c r="CI74" s="124"/>
      <c r="CJ74" s="124"/>
      <c r="CK74" s="122"/>
      <c r="CL74" s="124"/>
      <c r="CM74" s="124"/>
      <c r="CN74" s="124"/>
      <c r="CO74" s="124"/>
      <c r="CP74" s="122"/>
      <c r="CQ74" s="124"/>
      <c r="CR74" s="124"/>
      <c r="CS74" s="124"/>
      <c r="CT74" s="124"/>
      <c r="CU74" s="122"/>
      <c r="CV74" s="124"/>
      <c r="CW74" s="124"/>
      <c r="CX74" s="124"/>
      <c r="CY74" s="124"/>
      <c r="CZ74" s="122"/>
      <c r="DA74" s="124"/>
      <c r="DB74" s="124"/>
      <c r="DC74" s="124"/>
      <c r="DD74" s="124"/>
      <c r="DE74" s="122"/>
      <c r="DF74" s="124"/>
      <c r="DG74" s="124"/>
      <c r="DH74" s="124"/>
      <c r="DI74" s="124"/>
      <c r="DJ74" s="122"/>
      <c r="DK74" s="124"/>
      <c r="DL74" s="124"/>
      <c r="DM74" s="124"/>
      <c r="DN74" s="124"/>
      <c r="DO74" s="122"/>
      <c r="DP74" s="124"/>
      <c r="DQ74" s="124"/>
      <c r="DR74" s="124"/>
      <c r="DS74" s="124"/>
      <c r="DT74" s="122"/>
      <c r="DU74" s="303"/>
      <c r="DV74" s="303"/>
      <c r="DW74" s="303"/>
      <c r="DX74" s="303"/>
      <c r="DY74" s="124"/>
      <c r="DZ74" s="303"/>
      <c r="EA74" s="303"/>
    </row>
    <row r="75" spans="2:186" s="118" customFormat="1" ht="13.5" customHeight="1" x14ac:dyDescent="0.2">
      <c r="B75" s="329" t="s">
        <v>75</v>
      </c>
      <c r="C75" s="124"/>
      <c r="D75" s="124"/>
      <c r="E75" s="124"/>
      <c r="F75" s="124"/>
      <c r="G75" s="124"/>
      <c r="H75" s="124"/>
      <c r="I75" s="124"/>
      <c r="J75" s="124"/>
      <c r="K75" s="124"/>
      <c r="L75" s="124"/>
      <c r="M75" s="124"/>
      <c r="N75" s="124"/>
      <c r="O75" s="124"/>
      <c r="P75" s="124"/>
      <c r="Q75" s="124"/>
      <c r="R75" s="124"/>
      <c r="S75" s="124"/>
      <c r="T75" s="124"/>
      <c r="U75" s="124"/>
      <c r="V75" s="124"/>
      <c r="W75" s="124"/>
      <c r="X75" s="122"/>
      <c r="Y75" s="124"/>
      <c r="Z75" s="124"/>
      <c r="AA75" s="124"/>
      <c r="AB75" s="124"/>
      <c r="AC75" s="122"/>
      <c r="AD75" s="124"/>
      <c r="AE75" s="124"/>
      <c r="AF75" s="124"/>
      <c r="AG75" s="124"/>
      <c r="AH75" s="122"/>
      <c r="AI75" s="124"/>
      <c r="AJ75" s="124"/>
      <c r="AK75" s="124"/>
      <c r="AL75" s="124"/>
      <c r="AM75" s="122"/>
      <c r="AN75" s="124"/>
      <c r="AO75" s="124"/>
      <c r="AP75" s="124"/>
      <c r="AQ75" s="124"/>
      <c r="AR75" s="122"/>
      <c r="AS75" s="124"/>
      <c r="AT75" s="124"/>
      <c r="AU75" s="124"/>
      <c r="AV75" s="124"/>
      <c r="AW75" s="122"/>
      <c r="AX75" s="124"/>
      <c r="AY75" s="124"/>
      <c r="AZ75" s="124"/>
      <c r="BA75" s="124"/>
      <c r="BB75" s="122"/>
      <c r="BC75" s="124"/>
      <c r="BD75" s="124"/>
      <c r="BE75" s="124"/>
      <c r="BF75" s="124"/>
      <c r="BG75" s="122"/>
      <c r="BH75" s="124"/>
      <c r="BI75" s="124"/>
      <c r="BJ75" s="124"/>
      <c r="BK75" s="124"/>
      <c r="BL75" s="122"/>
      <c r="BM75" s="124"/>
      <c r="BN75" s="124"/>
      <c r="BO75" s="124"/>
      <c r="BP75" s="124"/>
      <c r="BQ75" s="122"/>
      <c r="BR75" s="124"/>
      <c r="BS75" s="124"/>
      <c r="BT75" s="124"/>
      <c r="BU75" s="124"/>
      <c r="BV75" s="122"/>
      <c r="BW75" s="124"/>
      <c r="BX75" s="124"/>
      <c r="BY75" s="124"/>
      <c r="BZ75" s="124"/>
      <c r="CA75" s="122"/>
      <c r="CB75" s="124"/>
      <c r="CC75" s="124"/>
      <c r="CD75" s="124"/>
      <c r="CE75" s="124"/>
      <c r="CF75" s="122"/>
      <c r="CG75" s="124"/>
      <c r="CH75" s="124"/>
      <c r="CI75" s="124"/>
      <c r="CJ75" s="124"/>
      <c r="CK75" s="122"/>
      <c r="CL75" s="124"/>
      <c r="CM75" s="124"/>
      <c r="CN75" s="124"/>
      <c r="CO75" s="124"/>
      <c r="CP75" s="122"/>
      <c r="CQ75" s="124"/>
      <c r="CR75" s="124"/>
      <c r="CS75" s="124"/>
      <c r="CT75" s="124"/>
      <c r="CU75" s="122"/>
      <c r="CV75" s="124"/>
      <c r="CW75" s="124"/>
      <c r="CX75" s="124"/>
      <c r="CY75" s="124"/>
      <c r="CZ75" s="122"/>
      <c r="DA75" s="124"/>
      <c r="DB75" s="124"/>
      <c r="DC75" s="124"/>
      <c r="DD75" s="124"/>
      <c r="DE75" s="122"/>
      <c r="DF75" s="124"/>
      <c r="DG75" s="124"/>
      <c r="DH75" s="124"/>
      <c r="DI75" s="124"/>
      <c r="DJ75" s="122"/>
      <c r="DK75" s="124"/>
      <c r="DL75" s="124"/>
      <c r="DM75" s="124"/>
      <c r="DN75" s="124"/>
      <c r="DO75" s="122"/>
      <c r="DP75" s="124"/>
      <c r="DQ75" s="124"/>
      <c r="DR75" s="124"/>
      <c r="DS75" s="124"/>
      <c r="DT75" s="122"/>
      <c r="DU75" s="303"/>
      <c r="DV75" s="303"/>
      <c r="DW75" s="303"/>
      <c r="DX75" s="303"/>
      <c r="DY75" s="124"/>
      <c r="DZ75" s="303"/>
      <c r="EA75" s="303"/>
      <c r="EY75" s="154"/>
      <c r="EZ75" s="154"/>
      <c r="FA75" s="154"/>
      <c r="FB75" s="154"/>
    </row>
    <row r="76" spans="2:186" s="118" customFormat="1" ht="13.5" customHeight="1" x14ac:dyDescent="0.2">
      <c r="B76" s="454" t="s">
        <v>124</v>
      </c>
      <c r="C76" s="463"/>
      <c r="D76" s="463"/>
      <c r="E76" s="463"/>
      <c r="F76" s="463"/>
      <c r="G76" s="463"/>
      <c r="H76" s="463"/>
      <c r="I76" s="463"/>
      <c r="J76" s="463"/>
      <c r="K76" s="463"/>
      <c r="L76" s="463"/>
      <c r="M76" s="463"/>
      <c r="N76" s="463"/>
      <c r="O76" s="463"/>
      <c r="P76" s="463"/>
      <c r="Q76" s="463"/>
      <c r="R76" s="463"/>
      <c r="S76" s="463"/>
      <c r="T76" s="463"/>
      <c r="U76" s="463"/>
      <c r="V76" s="463"/>
      <c r="W76" s="124"/>
      <c r="X76" s="122"/>
      <c r="Y76" s="124"/>
      <c r="Z76" s="124"/>
      <c r="AA76" s="124"/>
      <c r="AB76" s="124"/>
      <c r="AC76" s="122"/>
      <c r="AD76" s="124"/>
      <c r="AE76" s="124"/>
      <c r="AF76" s="124"/>
      <c r="AG76" s="124"/>
      <c r="AH76" s="122"/>
      <c r="AI76" s="124"/>
      <c r="AJ76" s="124"/>
      <c r="AK76" s="124"/>
      <c r="AL76" s="124"/>
      <c r="AM76" s="122"/>
      <c r="AN76" s="124"/>
      <c r="AO76" s="124"/>
      <c r="AP76" s="124"/>
      <c r="AQ76" s="124"/>
      <c r="AR76" s="122"/>
      <c r="AS76" s="124"/>
      <c r="AT76" s="124"/>
      <c r="AU76" s="124"/>
      <c r="AV76" s="124"/>
      <c r="AW76" s="122"/>
      <c r="AX76" s="124"/>
      <c r="AY76" s="124"/>
      <c r="AZ76" s="124"/>
      <c r="BA76" s="124"/>
      <c r="BB76" s="122"/>
      <c r="BC76" s="124"/>
      <c r="BD76" s="124"/>
      <c r="BE76" s="124"/>
      <c r="BF76" s="124"/>
      <c r="BG76" s="122"/>
      <c r="BH76" s="124"/>
      <c r="BI76" s="124"/>
      <c r="BJ76" s="124"/>
      <c r="BK76" s="124"/>
      <c r="BL76" s="122"/>
      <c r="BM76" s="124"/>
      <c r="BN76" s="124"/>
      <c r="BO76" s="124"/>
      <c r="BP76" s="124"/>
      <c r="BQ76" s="122"/>
      <c r="BR76" s="124"/>
      <c r="BS76" s="124"/>
      <c r="BT76" s="124"/>
      <c r="BU76" s="124"/>
      <c r="BV76" s="122"/>
      <c r="BW76" s="124"/>
      <c r="BX76" s="124"/>
      <c r="BY76" s="124"/>
      <c r="BZ76" s="124"/>
      <c r="CA76" s="122"/>
      <c r="CB76" s="124"/>
      <c r="CC76" s="124"/>
      <c r="CD76" s="124"/>
      <c r="CE76" s="124"/>
      <c r="CF76" s="122"/>
      <c r="CG76" s="124"/>
      <c r="CH76" s="124"/>
      <c r="CI76" s="124"/>
      <c r="CJ76" s="124"/>
      <c r="CK76" s="122"/>
      <c r="CL76" s="124"/>
      <c r="CM76" s="124"/>
      <c r="CN76" s="124"/>
      <c r="CO76" s="124"/>
      <c r="CP76" s="122"/>
      <c r="CQ76" s="124"/>
      <c r="CR76" s="124"/>
      <c r="CS76" s="124"/>
      <c r="CT76" s="124"/>
      <c r="CU76" s="122"/>
      <c r="CV76" s="124"/>
      <c r="CW76" s="124"/>
      <c r="CX76" s="124"/>
      <c r="CY76" s="124"/>
      <c r="CZ76" s="122"/>
      <c r="DA76" s="124"/>
      <c r="DB76" s="124"/>
      <c r="DC76" s="124"/>
      <c r="DD76" s="124"/>
      <c r="DE76" s="122"/>
      <c r="DF76" s="124"/>
      <c r="DG76" s="124"/>
      <c r="DH76" s="124"/>
      <c r="DI76" s="124"/>
      <c r="DJ76" s="122"/>
      <c r="DK76" s="124"/>
      <c r="DL76" s="124"/>
      <c r="DM76" s="124"/>
      <c r="DN76" s="124"/>
      <c r="DO76" s="122"/>
      <c r="DP76" s="124"/>
      <c r="DQ76" s="124"/>
      <c r="DR76" s="124"/>
      <c r="DS76" s="124"/>
      <c r="DT76" s="122"/>
      <c r="DU76" s="303"/>
      <c r="DV76" s="303"/>
      <c r="DW76" s="303"/>
      <c r="DX76" s="303"/>
      <c r="DY76" s="124"/>
      <c r="DZ76" s="303"/>
      <c r="EA76" s="303"/>
      <c r="EY76" s="154"/>
      <c r="EZ76" s="154"/>
      <c r="FA76" s="154"/>
      <c r="FB76" s="154"/>
    </row>
    <row r="77" spans="2:186" s="118" customFormat="1" ht="13.5" customHeight="1" x14ac:dyDescent="0.2">
      <c r="B77" s="117"/>
      <c r="C77" s="129"/>
      <c r="D77" s="129"/>
      <c r="E77" s="129"/>
      <c r="F77" s="129"/>
      <c r="G77" s="129"/>
      <c r="H77" s="129"/>
      <c r="I77" s="129"/>
      <c r="J77" s="129"/>
      <c r="K77" s="129"/>
      <c r="L77" s="129"/>
      <c r="M77" s="129"/>
      <c r="N77" s="129"/>
      <c r="O77" s="129"/>
      <c r="P77" s="129"/>
      <c r="Q77" s="129"/>
      <c r="R77" s="129"/>
      <c r="S77" s="129"/>
      <c r="T77" s="129"/>
      <c r="U77" s="129"/>
      <c r="V77" s="129"/>
      <c r="W77" s="124"/>
      <c r="X77" s="122"/>
      <c r="Y77" s="124"/>
      <c r="Z77" s="124"/>
      <c r="AA77" s="124"/>
      <c r="AB77" s="124"/>
      <c r="AC77" s="122"/>
      <c r="AD77" s="124"/>
      <c r="AE77" s="124"/>
      <c r="AF77" s="124"/>
      <c r="AG77" s="124"/>
      <c r="AH77" s="122"/>
      <c r="AI77" s="124"/>
      <c r="AJ77" s="124"/>
      <c r="AK77" s="124"/>
      <c r="AL77" s="124"/>
      <c r="AM77" s="122"/>
      <c r="AN77" s="124"/>
      <c r="AO77" s="124"/>
      <c r="AP77" s="124"/>
      <c r="AQ77" s="124"/>
      <c r="AR77" s="122"/>
      <c r="AS77" s="124"/>
      <c r="AT77" s="124"/>
      <c r="AU77" s="124"/>
      <c r="AV77" s="124"/>
      <c r="AW77" s="122"/>
      <c r="AX77" s="124"/>
      <c r="AY77" s="124"/>
      <c r="AZ77" s="124"/>
      <c r="BA77" s="124"/>
      <c r="BB77" s="122"/>
      <c r="BC77" s="124"/>
      <c r="BD77" s="124"/>
      <c r="BE77" s="124"/>
      <c r="BF77" s="124"/>
      <c r="BG77" s="122"/>
      <c r="BH77" s="124"/>
      <c r="BI77" s="124"/>
      <c r="BJ77" s="124"/>
      <c r="BK77" s="124"/>
      <c r="BL77" s="122"/>
      <c r="BM77" s="124"/>
      <c r="BN77" s="124"/>
      <c r="BO77" s="124"/>
      <c r="BP77" s="124"/>
      <c r="BQ77" s="122"/>
      <c r="BR77" s="124"/>
      <c r="BS77" s="124"/>
      <c r="BT77" s="124"/>
      <c r="BU77" s="124"/>
      <c r="BV77" s="122"/>
      <c r="BW77" s="124"/>
      <c r="BX77" s="124"/>
      <c r="BY77" s="124"/>
      <c r="BZ77" s="124"/>
      <c r="CA77" s="122"/>
      <c r="CB77" s="124"/>
      <c r="CC77" s="124"/>
      <c r="CD77" s="124"/>
      <c r="CE77" s="124"/>
      <c r="CF77" s="122"/>
      <c r="CG77" s="124"/>
      <c r="CH77" s="124"/>
      <c r="CI77" s="124"/>
      <c r="CJ77" s="124"/>
      <c r="CK77" s="122"/>
      <c r="CL77" s="124"/>
      <c r="CM77" s="124"/>
      <c r="CN77" s="124"/>
      <c r="CO77" s="124"/>
      <c r="CP77" s="122"/>
      <c r="CQ77" s="124"/>
      <c r="CR77" s="124"/>
      <c r="CS77" s="124"/>
      <c r="CT77" s="124"/>
      <c r="CU77" s="122"/>
      <c r="CV77" s="124"/>
      <c r="CW77" s="124"/>
      <c r="CX77" s="124"/>
      <c r="CY77" s="124"/>
      <c r="CZ77" s="122"/>
      <c r="DA77" s="124"/>
      <c r="DB77" s="124"/>
      <c r="DC77" s="124"/>
      <c r="DD77" s="124"/>
      <c r="DE77" s="122"/>
      <c r="DF77" s="124"/>
      <c r="DG77" s="124"/>
      <c r="DH77" s="124"/>
      <c r="DI77" s="124"/>
      <c r="DJ77" s="122"/>
      <c r="DK77" s="124"/>
      <c r="DL77" s="124"/>
      <c r="DM77" s="124"/>
      <c r="DN77" s="124"/>
      <c r="DO77" s="122"/>
      <c r="DP77" s="124"/>
      <c r="DQ77" s="124"/>
      <c r="DR77" s="124"/>
      <c r="DS77" s="124"/>
      <c r="DT77" s="122"/>
      <c r="DU77" s="303"/>
      <c r="DV77" s="303"/>
      <c r="DW77" s="303"/>
      <c r="DX77" s="303"/>
      <c r="DY77" s="124"/>
      <c r="DZ77" s="303"/>
      <c r="EA77" s="303"/>
      <c r="EY77" s="154"/>
      <c r="EZ77" s="154"/>
      <c r="FA77" s="154"/>
      <c r="FB77" s="154"/>
    </row>
    <row r="78" spans="2:186" s="118" customFormat="1" ht="13.5" customHeight="1" x14ac:dyDescent="0.2">
      <c r="B78" s="329" t="s">
        <v>111</v>
      </c>
      <c r="C78" s="124"/>
      <c r="D78" s="124"/>
      <c r="E78" s="124"/>
      <c r="F78" s="124"/>
      <c r="G78" s="124"/>
      <c r="H78" s="124"/>
      <c r="I78" s="124"/>
      <c r="J78" s="124"/>
      <c r="K78" s="124"/>
      <c r="L78" s="124"/>
      <c r="M78" s="124"/>
      <c r="N78" s="124"/>
      <c r="O78" s="124"/>
      <c r="P78" s="124"/>
      <c r="Q78" s="124"/>
      <c r="R78" s="124"/>
      <c r="S78" s="124"/>
      <c r="T78" s="124"/>
      <c r="U78" s="124"/>
      <c r="V78" s="124"/>
      <c r="W78" s="124"/>
      <c r="X78" s="122"/>
      <c r="Y78" s="124"/>
      <c r="Z78" s="124"/>
      <c r="AA78" s="124"/>
      <c r="AB78" s="124"/>
      <c r="AC78" s="122"/>
      <c r="AD78" s="124"/>
      <c r="AE78" s="124"/>
      <c r="AF78" s="124"/>
      <c r="AG78" s="124"/>
      <c r="AH78" s="122"/>
      <c r="AI78" s="124"/>
      <c r="AJ78" s="124"/>
      <c r="AK78" s="124"/>
      <c r="AL78" s="124"/>
      <c r="AM78" s="122"/>
      <c r="AN78" s="124"/>
      <c r="AO78" s="124"/>
      <c r="AP78" s="124"/>
      <c r="AQ78" s="124"/>
      <c r="AR78" s="122"/>
      <c r="AS78" s="124"/>
      <c r="AT78" s="124"/>
      <c r="AU78" s="124"/>
      <c r="AV78" s="124"/>
      <c r="AW78" s="122"/>
      <c r="AX78" s="124"/>
      <c r="AY78" s="124"/>
      <c r="AZ78" s="124"/>
      <c r="BA78" s="124"/>
      <c r="BB78" s="122"/>
      <c r="BC78" s="124"/>
      <c r="BD78" s="124"/>
      <c r="BE78" s="124"/>
      <c r="BF78" s="124"/>
      <c r="BG78" s="122"/>
      <c r="BH78" s="124"/>
      <c r="BI78" s="124"/>
      <c r="BJ78" s="124"/>
      <c r="BK78" s="124"/>
      <c r="BL78" s="122"/>
      <c r="BM78" s="124"/>
      <c r="BN78" s="124"/>
      <c r="BO78" s="124"/>
      <c r="BP78" s="124"/>
      <c r="BQ78" s="122"/>
      <c r="BR78" s="124"/>
      <c r="BS78" s="124"/>
      <c r="BT78" s="124"/>
      <c r="BU78" s="124"/>
      <c r="BV78" s="122"/>
      <c r="BW78" s="124"/>
      <c r="BX78" s="124"/>
      <c r="BY78" s="124"/>
      <c r="BZ78" s="124"/>
      <c r="CA78" s="122"/>
      <c r="CB78" s="124"/>
      <c r="CC78" s="124"/>
      <c r="CD78" s="124"/>
      <c r="CE78" s="124"/>
      <c r="CF78" s="122"/>
      <c r="CG78" s="124"/>
      <c r="CH78" s="124"/>
      <c r="CI78" s="124"/>
      <c r="CJ78" s="124"/>
      <c r="CK78" s="122"/>
      <c r="CL78" s="124"/>
      <c r="CM78" s="124"/>
      <c r="CN78" s="124"/>
      <c r="CO78" s="124"/>
      <c r="CP78" s="122"/>
      <c r="CQ78" s="124"/>
      <c r="CR78" s="124"/>
      <c r="CS78" s="124"/>
      <c r="CT78" s="124"/>
      <c r="CU78" s="122"/>
      <c r="CV78" s="124"/>
      <c r="CW78" s="124"/>
      <c r="CX78" s="124"/>
      <c r="CY78" s="124"/>
      <c r="CZ78" s="122"/>
      <c r="DA78" s="124"/>
      <c r="DB78" s="124"/>
      <c r="DC78" s="124"/>
      <c r="DD78" s="124"/>
      <c r="DE78" s="122"/>
      <c r="DF78" s="124"/>
      <c r="DG78" s="124"/>
      <c r="DH78" s="124"/>
      <c r="DI78" s="124"/>
      <c r="DJ78" s="122"/>
      <c r="DK78" s="124"/>
      <c r="DL78" s="124"/>
      <c r="DM78" s="124"/>
      <c r="DN78" s="124"/>
      <c r="DO78" s="122"/>
      <c r="DP78" s="124"/>
      <c r="DQ78" s="124"/>
      <c r="DR78" s="124"/>
      <c r="DS78" s="124"/>
      <c r="DT78" s="122"/>
      <c r="DU78" s="303"/>
      <c r="DV78" s="303"/>
      <c r="DW78" s="303"/>
      <c r="DX78" s="303"/>
      <c r="DY78" s="124"/>
      <c r="DZ78" s="303"/>
      <c r="EA78" s="303"/>
    </row>
    <row r="79" spans="2:186" s="118" customFormat="1" ht="13.5" customHeight="1" x14ac:dyDescent="0.2">
      <c r="B79" s="454" t="s">
        <v>76</v>
      </c>
      <c r="C79" s="463"/>
      <c r="D79" s="463"/>
      <c r="E79" s="463"/>
      <c r="F79" s="463"/>
      <c r="G79" s="463"/>
      <c r="H79" s="463"/>
      <c r="I79" s="463"/>
      <c r="J79" s="463"/>
      <c r="K79" s="463"/>
      <c r="L79" s="463"/>
      <c r="M79" s="463"/>
      <c r="N79" s="463"/>
      <c r="O79" s="463"/>
      <c r="P79" s="463"/>
      <c r="Q79" s="463"/>
      <c r="R79" s="463"/>
      <c r="S79" s="463"/>
      <c r="T79" s="463"/>
      <c r="U79" s="463"/>
      <c r="V79" s="463"/>
      <c r="W79" s="124"/>
      <c r="X79" s="122"/>
      <c r="Y79" s="124"/>
      <c r="Z79" s="124"/>
      <c r="AA79" s="124"/>
      <c r="AB79" s="124"/>
      <c r="AC79" s="122"/>
      <c r="AD79" s="124"/>
      <c r="AE79" s="124"/>
      <c r="AF79" s="124"/>
      <c r="AG79" s="124"/>
      <c r="AH79" s="122"/>
      <c r="AI79" s="124"/>
      <c r="AJ79" s="124"/>
      <c r="AK79" s="124"/>
      <c r="AL79" s="124"/>
      <c r="AM79" s="122"/>
      <c r="AN79" s="124"/>
      <c r="AO79" s="124"/>
      <c r="AP79" s="124"/>
      <c r="AQ79" s="124"/>
      <c r="AR79" s="122"/>
      <c r="AS79" s="124"/>
      <c r="AT79" s="124"/>
      <c r="AU79" s="124"/>
      <c r="AV79" s="124"/>
      <c r="AW79" s="122"/>
      <c r="AX79" s="124"/>
      <c r="AY79" s="124"/>
      <c r="AZ79" s="124"/>
      <c r="BA79" s="124"/>
      <c r="BB79" s="122"/>
      <c r="BC79" s="124"/>
      <c r="BD79" s="124"/>
      <c r="BE79" s="124"/>
      <c r="BF79" s="124"/>
      <c r="BG79" s="122"/>
      <c r="BH79" s="124"/>
      <c r="BI79" s="124"/>
      <c r="BJ79" s="124"/>
      <c r="BK79" s="124"/>
      <c r="BL79" s="122"/>
      <c r="BM79" s="124"/>
      <c r="BN79" s="124"/>
      <c r="BO79" s="124"/>
      <c r="BP79" s="124"/>
      <c r="BQ79" s="122"/>
      <c r="BR79" s="124"/>
      <c r="BS79" s="124"/>
      <c r="BT79" s="124"/>
      <c r="BU79" s="124"/>
      <c r="BV79" s="122"/>
      <c r="BW79" s="124"/>
      <c r="BX79" s="124"/>
      <c r="BY79" s="124"/>
      <c r="BZ79" s="124"/>
      <c r="CA79" s="122"/>
      <c r="CB79" s="124"/>
      <c r="CC79" s="124"/>
      <c r="CD79" s="124"/>
      <c r="CE79" s="124"/>
      <c r="CF79" s="122"/>
      <c r="CG79" s="124"/>
      <c r="CH79" s="124"/>
      <c r="CI79" s="124"/>
      <c r="CJ79" s="124"/>
      <c r="CK79" s="122"/>
      <c r="CL79" s="124"/>
      <c r="CM79" s="124"/>
      <c r="CN79" s="124"/>
      <c r="CO79" s="124"/>
      <c r="CP79" s="122"/>
      <c r="CQ79" s="124"/>
      <c r="CR79" s="124"/>
      <c r="CS79" s="124"/>
      <c r="CT79" s="124"/>
      <c r="CU79" s="122"/>
      <c r="CV79" s="124"/>
      <c r="CW79" s="124"/>
      <c r="CX79" s="124"/>
      <c r="CY79" s="124"/>
      <c r="CZ79" s="122"/>
      <c r="DA79" s="124"/>
      <c r="DB79" s="124"/>
      <c r="DC79" s="124"/>
      <c r="DD79" s="124"/>
      <c r="DE79" s="122"/>
      <c r="DF79" s="124"/>
      <c r="DG79" s="124"/>
      <c r="DH79" s="124"/>
      <c r="DI79" s="124"/>
      <c r="DJ79" s="122"/>
      <c r="DK79" s="124"/>
      <c r="DL79" s="124"/>
      <c r="DM79" s="124"/>
      <c r="DN79" s="124"/>
      <c r="DO79" s="122"/>
      <c r="DP79" s="124"/>
      <c r="DQ79" s="124"/>
      <c r="DR79" s="124"/>
      <c r="DS79" s="124"/>
      <c r="DT79" s="122"/>
      <c r="DU79" s="303"/>
      <c r="DV79" s="303"/>
      <c r="DW79" s="303"/>
      <c r="DX79" s="303"/>
      <c r="DY79" s="124"/>
      <c r="DZ79" s="303"/>
      <c r="EA79" s="303"/>
    </row>
    <row r="80" spans="2:186" s="118" customFormat="1" ht="13.5" customHeight="1" x14ac:dyDescent="0.2">
      <c r="B80" s="454" t="s">
        <v>77</v>
      </c>
      <c r="C80" s="463"/>
      <c r="D80" s="463"/>
      <c r="E80" s="463"/>
      <c r="F80" s="463"/>
      <c r="G80" s="463"/>
      <c r="H80" s="463"/>
      <c r="I80" s="463"/>
      <c r="J80" s="463"/>
      <c r="K80" s="463"/>
      <c r="L80" s="463"/>
      <c r="M80" s="463"/>
      <c r="N80" s="463"/>
      <c r="O80" s="463"/>
      <c r="P80" s="463"/>
      <c r="Q80" s="463"/>
      <c r="R80" s="463"/>
      <c r="S80" s="463"/>
      <c r="T80" s="463"/>
      <c r="U80" s="463"/>
      <c r="V80" s="463"/>
      <c r="W80" s="124"/>
      <c r="X80" s="122"/>
      <c r="Y80" s="124"/>
      <c r="Z80" s="124"/>
      <c r="AA80" s="124"/>
      <c r="AB80" s="124"/>
      <c r="AC80" s="122"/>
      <c r="AD80" s="124"/>
      <c r="AE80" s="124"/>
      <c r="AF80" s="124"/>
      <c r="AG80" s="124"/>
      <c r="AH80" s="122"/>
      <c r="AI80" s="124"/>
      <c r="AJ80" s="124"/>
      <c r="AK80" s="124"/>
      <c r="AL80" s="124"/>
      <c r="AM80" s="122"/>
      <c r="AN80" s="124"/>
      <c r="AO80" s="124"/>
      <c r="AP80" s="124"/>
      <c r="AQ80" s="124"/>
      <c r="AR80" s="122"/>
      <c r="AS80" s="124"/>
      <c r="AT80" s="124"/>
      <c r="AU80" s="124"/>
      <c r="AV80" s="124"/>
      <c r="AW80" s="122"/>
      <c r="AX80" s="124"/>
      <c r="AY80" s="124"/>
      <c r="AZ80" s="124"/>
      <c r="BA80" s="124"/>
      <c r="BB80" s="122"/>
      <c r="BC80" s="124"/>
      <c r="BD80" s="124"/>
      <c r="BE80" s="124"/>
      <c r="BF80" s="124"/>
      <c r="BG80" s="122"/>
      <c r="BH80" s="124"/>
      <c r="BI80" s="124"/>
      <c r="BJ80" s="124"/>
      <c r="BK80" s="124"/>
      <c r="BL80" s="122"/>
      <c r="BM80" s="124"/>
      <c r="BN80" s="124"/>
      <c r="BO80" s="124"/>
      <c r="BP80" s="124"/>
      <c r="BQ80" s="122"/>
      <c r="BR80" s="124"/>
      <c r="BS80" s="124"/>
      <c r="BT80" s="124"/>
      <c r="BU80" s="124"/>
      <c r="BV80" s="122"/>
      <c r="BW80" s="124"/>
      <c r="BX80" s="124"/>
      <c r="BY80" s="124"/>
      <c r="BZ80" s="124"/>
      <c r="CA80" s="122"/>
      <c r="CB80" s="124"/>
      <c r="CC80" s="124"/>
      <c r="CD80" s="124"/>
      <c r="CE80" s="124"/>
      <c r="CF80" s="122"/>
      <c r="CG80" s="124"/>
      <c r="CH80" s="124"/>
      <c r="CI80" s="124"/>
      <c r="CJ80" s="124"/>
      <c r="CK80" s="122"/>
      <c r="CL80" s="124"/>
      <c r="CM80" s="124"/>
      <c r="CN80" s="124"/>
      <c r="CO80" s="124"/>
      <c r="CP80" s="122"/>
      <c r="CQ80" s="124"/>
      <c r="CR80" s="124"/>
      <c r="CS80" s="124"/>
      <c r="CT80" s="124"/>
      <c r="CU80" s="122"/>
      <c r="CV80" s="124"/>
      <c r="CW80" s="124"/>
      <c r="CX80" s="124"/>
      <c r="CY80" s="124"/>
      <c r="CZ80" s="122"/>
      <c r="DA80" s="124"/>
      <c r="DB80" s="124"/>
      <c r="DC80" s="124"/>
      <c r="DD80" s="124"/>
      <c r="DE80" s="122"/>
      <c r="DF80" s="124"/>
      <c r="DG80" s="124"/>
      <c r="DH80" s="124"/>
      <c r="DI80" s="124"/>
      <c r="DJ80" s="122"/>
      <c r="DK80" s="124"/>
      <c r="DL80" s="124"/>
      <c r="DM80" s="124"/>
      <c r="DN80" s="124"/>
      <c r="DO80" s="122"/>
      <c r="DP80" s="124"/>
      <c r="DQ80" s="124"/>
      <c r="DR80" s="124"/>
      <c r="DS80" s="124"/>
      <c r="DT80" s="122"/>
      <c r="DU80" s="303"/>
      <c r="DV80" s="303"/>
      <c r="DW80" s="303"/>
      <c r="DX80" s="303"/>
      <c r="DY80" s="124"/>
      <c r="DZ80" s="303"/>
      <c r="EA80" s="303"/>
    </row>
    <row r="81" spans="2:131" s="118" customFormat="1" ht="13.5" customHeight="1" x14ac:dyDescent="0.2">
      <c r="B81" s="148" t="s">
        <v>78</v>
      </c>
      <c r="C81" s="124"/>
      <c r="D81" s="124"/>
      <c r="E81" s="124"/>
      <c r="F81" s="124"/>
      <c r="G81" s="124"/>
      <c r="H81" s="124"/>
      <c r="I81" s="124"/>
      <c r="J81" s="124"/>
      <c r="K81" s="124"/>
      <c r="L81" s="124"/>
      <c r="M81" s="124"/>
      <c r="N81" s="124"/>
      <c r="O81" s="124"/>
      <c r="P81" s="124"/>
      <c r="Q81" s="124"/>
      <c r="R81" s="124"/>
      <c r="S81" s="124"/>
      <c r="T81" s="124"/>
      <c r="U81" s="124"/>
      <c r="V81" s="124"/>
      <c r="W81" s="124"/>
      <c r="X81" s="122"/>
      <c r="Y81" s="124"/>
      <c r="Z81" s="124"/>
      <c r="AA81" s="124"/>
      <c r="AB81" s="124"/>
      <c r="AC81" s="122"/>
      <c r="AD81" s="124"/>
      <c r="AE81" s="124"/>
      <c r="AF81" s="124"/>
      <c r="AG81" s="124"/>
      <c r="AH81" s="122"/>
      <c r="AI81" s="124"/>
      <c r="AJ81" s="124"/>
      <c r="AK81" s="124"/>
      <c r="AL81" s="124"/>
      <c r="AM81" s="122"/>
      <c r="AN81" s="124"/>
      <c r="AO81" s="124"/>
      <c r="AP81" s="124"/>
      <c r="AQ81" s="124"/>
      <c r="AR81" s="122"/>
      <c r="AS81" s="124"/>
      <c r="AT81" s="124"/>
      <c r="AU81" s="124"/>
      <c r="AV81" s="124"/>
      <c r="AW81" s="122"/>
      <c r="AX81" s="124"/>
      <c r="AY81" s="124"/>
      <c r="AZ81" s="124"/>
      <c r="BA81" s="124"/>
      <c r="BB81" s="122"/>
      <c r="BC81" s="124"/>
      <c r="BD81" s="124"/>
      <c r="BE81" s="124"/>
      <c r="BF81" s="124"/>
      <c r="BG81" s="122"/>
      <c r="BH81" s="124"/>
      <c r="BI81" s="124"/>
      <c r="BJ81" s="124"/>
      <c r="BK81" s="124"/>
      <c r="BL81" s="122"/>
      <c r="BM81" s="124"/>
      <c r="BN81" s="124"/>
      <c r="BO81" s="124"/>
      <c r="BP81" s="124"/>
      <c r="BQ81" s="122"/>
      <c r="BR81" s="124"/>
      <c r="BS81" s="124"/>
      <c r="BT81" s="124"/>
      <c r="BU81" s="124"/>
      <c r="BV81" s="122"/>
      <c r="BW81" s="124"/>
      <c r="BX81" s="124"/>
      <c r="BY81" s="124"/>
      <c r="BZ81" s="124"/>
      <c r="CA81" s="122"/>
      <c r="CB81" s="124"/>
      <c r="CC81" s="124"/>
      <c r="CD81" s="124"/>
      <c r="CE81" s="124"/>
      <c r="CF81" s="122"/>
      <c r="CG81" s="124"/>
      <c r="CH81" s="124"/>
      <c r="CI81" s="124"/>
      <c r="CJ81" s="124"/>
      <c r="CK81" s="122"/>
      <c r="CL81" s="124"/>
      <c r="CM81" s="124"/>
      <c r="CN81" s="124"/>
      <c r="CO81" s="124"/>
      <c r="CP81" s="122"/>
      <c r="CQ81" s="124"/>
      <c r="CR81" s="124"/>
      <c r="CS81" s="124"/>
      <c r="CT81" s="124"/>
      <c r="CU81" s="122"/>
      <c r="CV81" s="124"/>
      <c r="CW81" s="124"/>
      <c r="CX81" s="124"/>
      <c r="CY81" s="124"/>
      <c r="CZ81" s="122"/>
      <c r="DA81" s="124"/>
      <c r="DB81" s="124"/>
      <c r="DC81" s="124"/>
      <c r="DD81" s="124"/>
      <c r="DE81" s="122"/>
      <c r="DF81" s="124"/>
      <c r="DG81" s="124"/>
      <c r="DH81" s="124"/>
      <c r="DI81" s="124"/>
      <c r="DJ81" s="122"/>
      <c r="DK81" s="124"/>
      <c r="DL81" s="124"/>
      <c r="DM81" s="124"/>
      <c r="DN81" s="124"/>
      <c r="DO81" s="122"/>
      <c r="DP81" s="124"/>
      <c r="DQ81" s="124"/>
      <c r="DR81" s="124"/>
      <c r="DS81" s="124"/>
      <c r="DT81" s="122"/>
      <c r="DU81" s="303"/>
      <c r="DV81" s="303"/>
      <c r="DW81" s="303"/>
      <c r="DX81" s="303"/>
      <c r="DY81" s="124"/>
      <c r="DZ81" s="303"/>
      <c r="EA81" s="303"/>
    </row>
    <row r="82" spans="2:131" s="118" customFormat="1" ht="13.5" customHeight="1" x14ac:dyDescent="0.2">
      <c r="B82" s="454" t="s">
        <v>200</v>
      </c>
      <c r="C82" s="463"/>
      <c r="D82" s="463"/>
      <c r="E82" s="463"/>
      <c r="F82" s="463"/>
      <c r="G82" s="463"/>
      <c r="H82" s="463"/>
      <c r="I82" s="463"/>
      <c r="J82" s="463"/>
      <c r="K82" s="463"/>
      <c r="L82" s="463"/>
      <c r="M82" s="463"/>
      <c r="N82" s="463"/>
      <c r="O82" s="463"/>
      <c r="P82" s="463"/>
      <c r="Q82" s="463"/>
      <c r="R82" s="463"/>
      <c r="S82" s="463"/>
      <c r="T82" s="463"/>
      <c r="U82" s="463"/>
      <c r="V82" s="124"/>
      <c r="W82" s="124"/>
      <c r="X82" s="122"/>
      <c r="Y82" s="124"/>
      <c r="Z82" s="124"/>
      <c r="AA82" s="124"/>
      <c r="AB82" s="124"/>
      <c r="AC82" s="122"/>
      <c r="AD82" s="124"/>
      <c r="AE82" s="124"/>
      <c r="AF82" s="124"/>
      <c r="AG82" s="124"/>
      <c r="AH82" s="122"/>
      <c r="AI82" s="124"/>
      <c r="AJ82" s="124"/>
      <c r="AK82" s="124"/>
      <c r="AL82" s="124"/>
      <c r="AM82" s="122"/>
      <c r="AN82" s="124"/>
      <c r="AO82" s="124"/>
      <c r="AP82" s="124"/>
      <c r="AQ82" s="124"/>
      <c r="AR82" s="122"/>
      <c r="AS82" s="124"/>
      <c r="AT82" s="124"/>
      <c r="AU82" s="124"/>
      <c r="AV82" s="124"/>
      <c r="AW82" s="122"/>
      <c r="AX82" s="124"/>
      <c r="AY82" s="124"/>
      <c r="AZ82" s="124"/>
      <c r="BA82" s="124"/>
      <c r="BB82" s="122"/>
      <c r="BC82" s="124"/>
      <c r="BD82" s="124"/>
      <c r="BE82" s="124"/>
      <c r="BF82" s="124"/>
      <c r="BG82" s="122"/>
      <c r="BH82" s="124"/>
      <c r="BI82" s="124"/>
      <c r="BJ82" s="124"/>
      <c r="BK82" s="124"/>
      <c r="BL82" s="122"/>
      <c r="BM82" s="124"/>
      <c r="BN82" s="124"/>
      <c r="BO82" s="124"/>
      <c r="BP82" s="124"/>
      <c r="BQ82" s="122"/>
      <c r="BR82" s="124"/>
      <c r="BS82" s="124"/>
      <c r="BT82" s="124"/>
      <c r="BU82" s="124"/>
      <c r="BV82" s="122"/>
      <c r="BW82" s="124"/>
      <c r="BX82" s="124"/>
      <c r="BY82" s="124"/>
      <c r="BZ82" s="124"/>
      <c r="CA82" s="122"/>
      <c r="CB82" s="124"/>
      <c r="CC82" s="124"/>
      <c r="CD82" s="124"/>
      <c r="CE82" s="124"/>
      <c r="CF82" s="122"/>
      <c r="CG82" s="124"/>
      <c r="CH82" s="124"/>
      <c r="CI82" s="124"/>
      <c r="CJ82" s="124"/>
      <c r="CK82" s="122"/>
      <c r="CL82" s="124"/>
      <c r="CM82" s="124"/>
      <c r="CN82" s="124"/>
      <c r="CO82" s="124"/>
      <c r="CP82" s="122"/>
      <c r="CQ82" s="124"/>
      <c r="CR82" s="124"/>
      <c r="CS82" s="124"/>
      <c r="CT82" s="124"/>
      <c r="CU82" s="122"/>
      <c r="CV82" s="124"/>
      <c r="CW82" s="124"/>
      <c r="CX82" s="124"/>
      <c r="CY82" s="124"/>
      <c r="CZ82" s="122"/>
      <c r="DA82" s="124"/>
      <c r="DB82" s="124"/>
      <c r="DC82" s="124"/>
      <c r="DD82" s="124"/>
      <c r="DE82" s="122"/>
      <c r="DF82" s="124"/>
      <c r="DG82" s="124"/>
      <c r="DH82" s="124"/>
      <c r="DI82" s="124"/>
      <c r="DJ82" s="122"/>
      <c r="DK82" s="124"/>
      <c r="DL82" s="124"/>
      <c r="DM82" s="124"/>
      <c r="DN82" s="124"/>
      <c r="DO82" s="122"/>
      <c r="DP82" s="124"/>
      <c r="DQ82" s="124"/>
      <c r="DR82" s="124"/>
      <c r="DS82" s="124"/>
      <c r="DT82" s="122"/>
      <c r="DU82" s="303"/>
      <c r="DV82" s="303"/>
      <c r="DW82" s="303"/>
      <c r="DX82" s="303"/>
      <c r="DY82" s="124"/>
      <c r="DZ82" s="303"/>
      <c r="EA82" s="303"/>
    </row>
    <row r="83" spans="2:131" s="118" customFormat="1" ht="13.5" customHeight="1" x14ac:dyDescent="0.2">
      <c r="B83" s="454" t="s">
        <v>201</v>
      </c>
      <c r="C83" s="463"/>
      <c r="D83" s="463"/>
      <c r="E83" s="463"/>
      <c r="F83" s="463"/>
      <c r="G83" s="463"/>
      <c r="H83" s="463"/>
      <c r="I83" s="463"/>
      <c r="J83" s="463"/>
      <c r="K83" s="463"/>
      <c r="L83" s="463"/>
      <c r="M83" s="463"/>
      <c r="N83" s="463"/>
      <c r="O83" s="463"/>
      <c r="P83" s="463"/>
      <c r="Q83" s="463"/>
      <c r="R83" s="463"/>
      <c r="S83" s="463"/>
      <c r="T83" s="463"/>
      <c r="U83" s="463"/>
      <c r="V83" s="124"/>
      <c r="W83" s="124"/>
      <c r="Y83" s="303"/>
      <c r="Z83" s="303"/>
      <c r="AA83" s="303"/>
      <c r="AB83" s="303"/>
      <c r="AD83" s="303"/>
      <c r="AE83" s="303"/>
      <c r="AF83" s="303"/>
      <c r="AG83" s="303"/>
      <c r="AI83" s="303"/>
      <c r="AJ83" s="303"/>
      <c r="AK83" s="303"/>
      <c r="AL83" s="303"/>
      <c r="AN83" s="303"/>
      <c r="AO83" s="303"/>
      <c r="AP83" s="303"/>
      <c r="AQ83" s="303"/>
      <c r="AS83" s="303"/>
      <c r="AT83" s="303"/>
      <c r="AU83" s="303"/>
      <c r="AV83" s="303"/>
      <c r="AX83" s="303"/>
      <c r="AY83" s="303"/>
      <c r="AZ83" s="303"/>
      <c r="BA83" s="303"/>
      <c r="BC83" s="303"/>
      <c r="BD83" s="303"/>
      <c r="BE83" s="303"/>
      <c r="BF83" s="303"/>
      <c r="BH83" s="303"/>
      <c r="BI83" s="303"/>
      <c r="BJ83" s="303"/>
      <c r="BK83" s="303"/>
      <c r="BM83" s="303"/>
      <c r="BN83" s="303"/>
      <c r="BO83" s="303"/>
      <c r="BP83" s="303"/>
      <c r="BR83" s="303"/>
      <c r="BS83" s="303"/>
      <c r="BT83" s="303"/>
      <c r="BU83" s="303"/>
      <c r="BW83" s="303"/>
      <c r="BX83" s="303"/>
      <c r="BY83" s="303"/>
      <c r="BZ83" s="303"/>
      <c r="CB83" s="303"/>
      <c r="CC83" s="303"/>
      <c r="CD83" s="303"/>
      <c r="CE83" s="303"/>
      <c r="CG83" s="303"/>
      <c r="CH83" s="303"/>
      <c r="CI83" s="303"/>
      <c r="CJ83" s="303"/>
      <c r="CL83" s="303"/>
      <c r="CM83" s="303"/>
      <c r="CN83" s="303"/>
      <c r="CO83" s="303"/>
      <c r="CQ83" s="303"/>
      <c r="CR83" s="303"/>
      <c r="CS83" s="303"/>
      <c r="CT83" s="303"/>
      <c r="CV83" s="303"/>
      <c r="CW83" s="303"/>
      <c r="CX83" s="303"/>
      <c r="CY83" s="303"/>
      <c r="DA83" s="303"/>
      <c r="DB83" s="303"/>
      <c r="DC83" s="303"/>
      <c r="DD83" s="303"/>
      <c r="DF83" s="303"/>
      <c r="DG83" s="303"/>
      <c r="DH83" s="303"/>
      <c r="DI83" s="303"/>
      <c r="DK83" s="303"/>
      <c r="DL83" s="303"/>
      <c r="DM83" s="303"/>
      <c r="DN83" s="303"/>
      <c r="DP83" s="303"/>
      <c r="DQ83" s="303"/>
      <c r="DR83" s="303"/>
      <c r="DS83" s="303"/>
      <c r="DU83" s="303"/>
      <c r="DV83" s="303"/>
      <c r="DW83" s="303"/>
      <c r="DX83" s="303"/>
      <c r="DY83" s="303"/>
      <c r="DZ83" s="303"/>
      <c r="EA83" s="303"/>
    </row>
    <row r="84" spans="2:131" s="118" customFormat="1" ht="13.5" customHeight="1" x14ac:dyDescent="0.2">
      <c r="B84" s="454" t="s">
        <v>202</v>
      </c>
      <c r="C84" s="463"/>
      <c r="D84" s="463"/>
      <c r="E84" s="463"/>
      <c r="F84" s="463"/>
      <c r="G84" s="463"/>
      <c r="H84" s="463"/>
      <c r="I84" s="463"/>
      <c r="J84" s="463"/>
      <c r="K84" s="463"/>
      <c r="L84" s="463"/>
      <c r="M84" s="463"/>
      <c r="N84" s="463"/>
      <c r="O84" s="463"/>
      <c r="P84" s="463"/>
      <c r="Q84" s="463"/>
      <c r="R84" s="463"/>
      <c r="S84" s="463"/>
      <c r="T84" s="463"/>
      <c r="U84" s="463"/>
      <c r="V84" s="124"/>
      <c r="W84" s="124"/>
      <c r="Y84" s="303"/>
      <c r="Z84" s="303"/>
      <c r="AA84" s="303"/>
      <c r="AB84" s="303"/>
      <c r="AD84" s="303"/>
      <c r="AE84" s="303"/>
      <c r="AF84" s="303"/>
      <c r="AG84" s="303"/>
      <c r="AI84" s="303"/>
      <c r="AJ84" s="303"/>
      <c r="AK84" s="303"/>
      <c r="AL84" s="303"/>
      <c r="AN84" s="303"/>
      <c r="AO84" s="303"/>
      <c r="AP84" s="303"/>
      <c r="AQ84" s="303"/>
      <c r="AS84" s="303"/>
      <c r="AT84" s="303"/>
      <c r="AU84" s="303"/>
      <c r="AV84" s="303"/>
      <c r="AX84" s="303"/>
      <c r="AY84" s="303"/>
      <c r="AZ84" s="303"/>
      <c r="BA84" s="303"/>
      <c r="BC84" s="303"/>
      <c r="BD84" s="303"/>
      <c r="BE84" s="303"/>
      <c r="BF84" s="303"/>
      <c r="BH84" s="303"/>
      <c r="BI84" s="303"/>
      <c r="BJ84" s="303"/>
      <c r="BK84" s="303"/>
      <c r="BM84" s="303"/>
      <c r="BN84" s="303"/>
      <c r="BO84" s="303"/>
      <c r="BP84" s="303"/>
      <c r="BR84" s="303"/>
      <c r="BS84" s="303"/>
      <c r="BT84" s="303"/>
      <c r="BU84" s="303"/>
      <c r="BW84" s="303"/>
      <c r="BX84" s="303"/>
      <c r="BY84" s="303"/>
      <c r="BZ84" s="303"/>
      <c r="CB84" s="303"/>
      <c r="CC84" s="303"/>
      <c r="CD84" s="303"/>
      <c r="CE84" s="303"/>
      <c r="CG84" s="303"/>
      <c r="CH84" s="303"/>
      <c r="CI84" s="303"/>
      <c r="CJ84" s="303"/>
      <c r="CL84" s="303"/>
      <c r="CM84" s="303"/>
      <c r="CN84" s="303"/>
      <c r="CO84" s="303"/>
      <c r="CQ84" s="303"/>
      <c r="CR84" s="303"/>
      <c r="CS84" s="303"/>
      <c r="CT84" s="303"/>
      <c r="CV84" s="303"/>
      <c r="CW84" s="303"/>
      <c r="CX84" s="303"/>
      <c r="CY84" s="303"/>
      <c r="DA84" s="303"/>
      <c r="DB84" s="303"/>
      <c r="DC84" s="303"/>
      <c r="DD84" s="303"/>
      <c r="DF84" s="303"/>
      <c r="DG84" s="303"/>
      <c r="DH84" s="303"/>
      <c r="DI84" s="303"/>
      <c r="DK84" s="303"/>
      <c r="DL84" s="303"/>
      <c r="DM84" s="303"/>
      <c r="DN84" s="303"/>
      <c r="DP84" s="303"/>
      <c r="DQ84" s="303"/>
      <c r="DR84" s="303"/>
      <c r="DS84" s="303"/>
      <c r="DU84" s="303"/>
      <c r="DV84" s="303"/>
      <c r="DW84" s="303"/>
      <c r="DX84" s="303"/>
      <c r="DY84" s="303"/>
      <c r="DZ84" s="303"/>
      <c r="EA84" s="303"/>
    </row>
    <row r="85" spans="2:131" s="118" customFormat="1" ht="13.5" customHeight="1" x14ac:dyDescent="0.2">
      <c r="B85" s="454" t="s">
        <v>203</v>
      </c>
      <c r="C85" s="463"/>
      <c r="D85" s="463"/>
      <c r="E85" s="463"/>
      <c r="F85" s="463"/>
      <c r="G85" s="463"/>
      <c r="H85" s="463"/>
      <c r="I85" s="463"/>
      <c r="J85" s="463"/>
      <c r="K85" s="463"/>
      <c r="L85" s="463"/>
      <c r="M85" s="463"/>
      <c r="N85" s="463"/>
      <c r="O85" s="463"/>
      <c r="P85" s="463"/>
      <c r="Q85" s="463"/>
      <c r="R85" s="463"/>
      <c r="S85" s="463"/>
      <c r="T85" s="463"/>
      <c r="U85" s="463"/>
      <c r="V85" s="124"/>
      <c r="W85" s="124"/>
      <c r="Y85" s="303"/>
      <c r="Z85" s="303"/>
      <c r="AA85" s="303"/>
      <c r="AB85" s="303"/>
      <c r="AD85" s="303"/>
      <c r="AE85" s="303"/>
      <c r="AF85" s="303"/>
      <c r="AG85" s="303"/>
      <c r="AI85" s="303"/>
      <c r="AJ85" s="303"/>
      <c r="AK85" s="303"/>
      <c r="AL85" s="303"/>
      <c r="AN85" s="303"/>
      <c r="AO85" s="303"/>
      <c r="AP85" s="303"/>
      <c r="AQ85" s="303"/>
      <c r="AS85" s="303"/>
      <c r="AT85" s="303"/>
      <c r="AU85" s="303"/>
      <c r="AV85" s="303"/>
      <c r="AX85" s="303"/>
      <c r="AY85" s="303"/>
      <c r="AZ85" s="303"/>
      <c r="BA85" s="303"/>
      <c r="BC85" s="303"/>
      <c r="BD85" s="303"/>
      <c r="BE85" s="303"/>
      <c r="BF85" s="303"/>
      <c r="BH85" s="303"/>
      <c r="BI85" s="303"/>
      <c r="BJ85" s="303"/>
      <c r="BK85" s="303"/>
      <c r="BM85" s="303"/>
      <c r="BN85" s="303"/>
      <c r="BO85" s="303"/>
      <c r="BP85" s="303"/>
      <c r="BR85" s="303"/>
      <c r="BS85" s="303"/>
      <c r="BT85" s="303"/>
      <c r="BU85" s="303"/>
      <c r="BW85" s="303"/>
      <c r="BX85" s="303"/>
      <c r="BY85" s="303"/>
      <c r="BZ85" s="303"/>
      <c r="CB85" s="303"/>
      <c r="CC85" s="303"/>
      <c r="CD85" s="303"/>
      <c r="CE85" s="303"/>
      <c r="CG85" s="303"/>
      <c r="CH85" s="303"/>
      <c r="CI85" s="303"/>
      <c r="CJ85" s="303"/>
      <c r="CL85" s="303"/>
      <c r="CM85" s="303"/>
      <c r="CN85" s="303"/>
      <c r="CO85" s="303"/>
      <c r="CQ85" s="303"/>
      <c r="CR85" s="303"/>
      <c r="CS85" s="303"/>
      <c r="CT85" s="303"/>
      <c r="CV85" s="303"/>
      <c r="CW85" s="303"/>
      <c r="CX85" s="303"/>
      <c r="CY85" s="303"/>
      <c r="DA85" s="303"/>
      <c r="DB85" s="303"/>
      <c r="DC85" s="303"/>
      <c r="DD85" s="303"/>
      <c r="DF85" s="303"/>
      <c r="DG85" s="303"/>
      <c r="DH85" s="303"/>
      <c r="DI85" s="303"/>
      <c r="DK85" s="303"/>
      <c r="DL85" s="303"/>
      <c r="DM85" s="303"/>
      <c r="DN85" s="303"/>
      <c r="DP85" s="303"/>
      <c r="DQ85" s="303"/>
      <c r="DR85" s="303"/>
      <c r="DS85" s="303"/>
      <c r="DU85" s="303"/>
      <c r="DV85" s="303"/>
      <c r="DW85" s="303"/>
      <c r="DX85" s="303"/>
      <c r="DY85" s="303"/>
      <c r="DZ85" s="303"/>
      <c r="EA85" s="303"/>
    </row>
    <row r="86" spans="2:131" ht="13.5" customHeight="1" x14ac:dyDescent="0.2">
      <c r="B86" s="454" t="s">
        <v>204</v>
      </c>
      <c r="C86" s="463"/>
      <c r="D86" s="463"/>
      <c r="E86" s="463"/>
      <c r="F86" s="463"/>
      <c r="G86" s="463"/>
      <c r="H86" s="463"/>
      <c r="I86" s="463"/>
      <c r="J86" s="463"/>
      <c r="K86" s="463"/>
      <c r="L86" s="463"/>
      <c r="M86" s="463"/>
      <c r="N86" s="463"/>
      <c r="O86" s="463"/>
      <c r="P86" s="463"/>
      <c r="Q86" s="463"/>
      <c r="R86" s="463"/>
      <c r="S86" s="463"/>
      <c r="T86" s="463"/>
      <c r="U86" s="463"/>
      <c r="V86" s="124"/>
      <c r="W86" s="124"/>
      <c r="Y86" s="116"/>
      <c r="Z86" s="116"/>
      <c r="AA86" s="116"/>
      <c r="AB86" s="116"/>
      <c r="AD86" s="116"/>
      <c r="AE86" s="116"/>
      <c r="AF86" s="116"/>
      <c r="AG86" s="116"/>
      <c r="AI86" s="116"/>
      <c r="AJ86" s="116"/>
      <c r="AK86" s="116"/>
      <c r="AL86" s="116"/>
      <c r="AN86" s="116"/>
      <c r="AO86" s="116"/>
      <c r="AP86" s="116"/>
      <c r="AQ86" s="116"/>
      <c r="AS86" s="116"/>
      <c r="AT86" s="116"/>
      <c r="AU86" s="116"/>
      <c r="AV86" s="116"/>
      <c r="AX86" s="116"/>
      <c r="AY86" s="116"/>
      <c r="AZ86" s="116"/>
      <c r="BA86" s="116"/>
      <c r="BC86" s="116"/>
      <c r="BD86" s="116"/>
      <c r="BE86" s="116"/>
      <c r="BF86" s="116"/>
      <c r="BH86" s="116"/>
      <c r="BI86" s="116"/>
      <c r="BJ86" s="116"/>
      <c r="BK86" s="116"/>
      <c r="BM86" s="116"/>
      <c r="BN86" s="116"/>
      <c r="BO86" s="116"/>
      <c r="BP86" s="116"/>
      <c r="BR86" s="116"/>
      <c r="BS86" s="116"/>
      <c r="BT86" s="116"/>
      <c r="BU86" s="116"/>
      <c r="BW86" s="116"/>
      <c r="BX86" s="116"/>
      <c r="BY86" s="116"/>
      <c r="BZ86" s="116"/>
      <c r="CB86" s="116"/>
      <c r="CC86" s="116"/>
      <c r="CD86" s="116"/>
      <c r="CE86" s="116"/>
      <c r="CG86" s="116"/>
      <c r="CH86" s="116"/>
      <c r="CI86" s="116"/>
      <c r="CJ86" s="116"/>
      <c r="CL86" s="116"/>
      <c r="CM86" s="116"/>
      <c r="CN86" s="116"/>
      <c r="CO86" s="116"/>
      <c r="CQ86" s="116"/>
      <c r="CR86" s="116"/>
      <c r="CS86" s="116"/>
      <c r="CT86" s="116"/>
      <c r="CV86" s="116"/>
      <c r="CW86" s="116"/>
      <c r="CX86" s="116"/>
      <c r="CY86" s="116"/>
      <c r="DA86" s="116"/>
      <c r="DB86" s="116"/>
      <c r="DC86" s="116"/>
      <c r="DD86" s="116"/>
      <c r="DF86" s="116"/>
      <c r="DG86" s="116"/>
      <c r="DH86" s="116"/>
      <c r="DI86" s="116"/>
      <c r="DK86" s="116"/>
      <c r="DL86" s="116"/>
      <c r="DM86" s="116"/>
      <c r="DN86" s="116"/>
      <c r="DP86" s="116"/>
      <c r="DQ86" s="116"/>
      <c r="DR86" s="116"/>
      <c r="DS86" s="116"/>
    </row>
    <row r="87" spans="2:131" ht="13.5" customHeight="1" x14ac:dyDescent="0.2">
      <c r="B87" s="148" t="s">
        <v>79</v>
      </c>
      <c r="C87" s="124"/>
      <c r="D87" s="124"/>
      <c r="E87" s="124"/>
      <c r="F87" s="124"/>
      <c r="G87" s="124"/>
      <c r="H87" s="124"/>
      <c r="I87" s="124"/>
      <c r="J87" s="124"/>
      <c r="K87" s="124"/>
      <c r="L87" s="124"/>
      <c r="M87" s="124"/>
      <c r="N87" s="124"/>
      <c r="O87" s="124"/>
      <c r="P87" s="124"/>
      <c r="Q87" s="124"/>
      <c r="R87" s="124"/>
      <c r="S87" s="124"/>
      <c r="T87" s="124"/>
      <c r="U87" s="124"/>
      <c r="V87" s="124"/>
      <c r="W87" s="124"/>
      <c r="X87" s="116"/>
      <c r="Y87" s="116"/>
      <c r="Z87" s="116"/>
      <c r="AA87" s="116"/>
      <c r="AB87" s="116"/>
      <c r="AC87" s="116"/>
      <c r="AD87" s="116"/>
      <c r="AE87" s="116"/>
      <c r="AF87" s="116"/>
      <c r="AG87" s="116"/>
      <c r="AH87" s="116"/>
      <c r="AI87" s="116"/>
      <c r="AJ87" s="116"/>
      <c r="AK87" s="116"/>
      <c r="AL87" s="116"/>
      <c r="AM87" s="116"/>
      <c r="AN87" s="116"/>
      <c r="AO87" s="116"/>
      <c r="AP87" s="116"/>
      <c r="AQ87" s="116"/>
      <c r="AR87" s="116"/>
      <c r="AS87" s="116"/>
      <c r="AT87" s="116"/>
      <c r="AU87" s="116"/>
      <c r="AV87" s="116"/>
      <c r="AW87" s="116"/>
      <c r="AX87" s="116"/>
      <c r="AY87" s="116"/>
      <c r="AZ87" s="116"/>
      <c r="BA87" s="116"/>
      <c r="BB87" s="116"/>
      <c r="BC87" s="116"/>
      <c r="BD87" s="116"/>
      <c r="BE87" s="116"/>
      <c r="BF87" s="116"/>
      <c r="BG87" s="116"/>
      <c r="BH87" s="116"/>
      <c r="BI87" s="116"/>
      <c r="BJ87" s="116"/>
      <c r="BK87" s="116"/>
      <c r="BL87" s="116"/>
      <c r="BM87" s="116"/>
      <c r="BN87" s="116"/>
      <c r="BO87" s="116"/>
      <c r="BP87" s="116"/>
      <c r="BQ87" s="116"/>
      <c r="BR87" s="116"/>
      <c r="BS87" s="116"/>
      <c r="BT87" s="116"/>
      <c r="BU87" s="116"/>
      <c r="BV87" s="116"/>
      <c r="BW87" s="116"/>
      <c r="BX87" s="116"/>
      <c r="BY87" s="116"/>
      <c r="BZ87" s="116"/>
      <c r="CA87" s="116"/>
      <c r="CB87" s="116"/>
      <c r="CC87" s="116"/>
      <c r="CD87" s="116"/>
      <c r="CE87" s="116"/>
      <c r="CF87" s="116"/>
      <c r="CG87" s="116"/>
      <c r="CH87" s="116"/>
      <c r="CI87" s="116"/>
      <c r="CJ87" s="116"/>
      <c r="CK87" s="116"/>
      <c r="CL87" s="116"/>
      <c r="CM87" s="116"/>
      <c r="CN87" s="116"/>
      <c r="CO87" s="116"/>
      <c r="CP87" s="116"/>
      <c r="CQ87" s="116"/>
      <c r="CR87" s="116"/>
      <c r="CS87" s="116"/>
      <c r="CT87" s="116"/>
      <c r="CU87" s="116"/>
      <c r="CV87" s="116"/>
      <c r="CW87" s="116"/>
      <c r="CX87" s="116"/>
      <c r="CY87" s="116"/>
      <c r="CZ87" s="116"/>
      <c r="DA87" s="116"/>
      <c r="DB87" s="116"/>
      <c r="DC87" s="116"/>
      <c r="DD87" s="116"/>
      <c r="DE87" s="116"/>
      <c r="DF87" s="116"/>
      <c r="DG87" s="116"/>
      <c r="DH87" s="116"/>
      <c r="DI87" s="116"/>
      <c r="DJ87" s="116"/>
      <c r="DK87" s="116"/>
      <c r="DL87" s="116"/>
      <c r="DM87" s="116"/>
      <c r="DN87" s="116"/>
      <c r="DO87" s="116"/>
      <c r="DP87" s="116"/>
      <c r="DQ87" s="116"/>
      <c r="DR87" s="116"/>
      <c r="DS87" s="116"/>
      <c r="DT87" s="116"/>
    </row>
    <row r="88" spans="2:131" ht="13.5" customHeight="1" x14ac:dyDescent="0.2">
      <c r="B88" s="454" t="s">
        <v>80</v>
      </c>
      <c r="C88" s="463"/>
      <c r="D88" s="463"/>
      <c r="E88" s="463"/>
      <c r="F88" s="463"/>
      <c r="G88" s="463"/>
      <c r="H88" s="463"/>
      <c r="I88" s="463"/>
      <c r="J88" s="463"/>
      <c r="K88" s="463"/>
      <c r="L88" s="463"/>
      <c r="M88" s="463"/>
      <c r="N88" s="463"/>
      <c r="O88" s="463"/>
      <c r="P88" s="463"/>
      <c r="Q88" s="463"/>
      <c r="R88" s="463"/>
      <c r="S88" s="463"/>
      <c r="T88" s="463"/>
      <c r="U88" s="463"/>
      <c r="V88" s="122"/>
      <c r="W88" s="122"/>
    </row>
    <row r="89" spans="2:131" ht="13.5" customHeight="1" x14ac:dyDescent="0.2">
      <c r="B89" s="454" t="s">
        <v>81</v>
      </c>
      <c r="C89" s="463"/>
      <c r="D89" s="463"/>
      <c r="E89" s="463"/>
      <c r="F89" s="463"/>
      <c r="G89" s="463"/>
      <c r="H89" s="463"/>
      <c r="I89" s="463"/>
      <c r="J89" s="463"/>
      <c r="K89" s="463"/>
      <c r="L89" s="463"/>
      <c r="M89" s="463"/>
      <c r="N89" s="463"/>
      <c r="O89" s="463"/>
      <c r="P89" s="463"/>
      <c r="Q89" s="463"/>
      <c r="R89" s="463"/>
      <c r="S89" s="463"/>
      <c r="T89" s="463"/>
      <c r="U89" s="463"/>
      <c r="V89" s="122"/>
      <c r="W89" s="122"/>
    </row>
    <row r="90" spans="2:131" ht="13.5" customHeight="1" x14ac:dyDescent="0.2">
      <c r="B90" s="454" t="s">
        <v>82</v>
      </c>
      <c r="C90" s="463"/>
      <c r="D90" s="463"/>
      <c r="E90" s="463"/>
      <c r="F90" s="463"/>
      <c r="G90" s="463"/>
      <c r="H90" s="463"/>
      <c r="I90" s="463"/>
      <c r="J90" s="463"/>
      <c r="K90" s="463"/>
      <c r="L90" s="463"/>
      <c r="M90" s="463"/>
      <c r="N90" s="463"/>
      <c r="O90" s="463"/>
      <c r="P90" s="463"/>
      <c r="Q90" s="463"/>
      <c r="R90" s="463"/>
      <c r="S90" s="463"/>
      <c r="T90" s="463"/>
      <c r="U90" s="463"/>
      <c r="V90" s="122"/>
      <c r="W90" s="122"/>
    </row>
    <row r="91" spans="2:131" ht="13.5" customHeight="1" x14ac:dyDescent="0.2">
      <c r="B91" s="454" t="s">
        <v>83</v>
      </c>
      <c r="C91" s="463"/>
      <c r="D91" s="463"/>
      <c r="E91" s="463"/>
      <c r="F91" s="463"/>
      <c r="G91" s="463"/>
      <c r="H91" s="463"/>
      <c r="I91" s="463"/>
      <c r="J91" s="463"/>
      <c r="K91" s="463"/>
      <c r="L91" s="463"/>
      <c r="M91" s="463"/>
      <c r="N91" s="463"/>
      <c r="O91" s="463"/>
      <c r="P91" s="463"/>
      <c r="Q91" s="463"/>
      <c r="R91" s="463"/>
      <c r="S91" s="463"/>
      <c r="T91" s="463"/>
      <c r="U91" s="463"/>
      <c r="V91" s="122"/>
      <c r="W91" s="122"/>
    </row>
    <row r="92" spans="2:131" ht="13.5" customHeight="1" x14ac:dyDescent="0.2">
      <c r="B92" s="454" t="s">
        <v>84</v>
      </c>
      <c r="C92" s="463"/>
      <c r="D92" s="463"/>
      <c r="E92" s="463"/>
      <c r="F92" s="463"/>
      <c r="G92" s="463"/>
      <c r="H92" s="463"/>
      <c r="I92" s="463"/>
      <c r="J92" s="463"/>
      <c r="K92" s="463"/>
      <c r="L92" s="463"/>
      <c r="M92" s="463"/>
      <c r="N92" s="463"/>
      <c r="O92" s="463"/>
      <c r="P92" s="463"/>
      <c r="Q92" s="463"/>
      <c r="R92" s="463"/>
      <c r="S92" s="463"/>
      <c r="T92" s="463"/>
      <c r="U92" s="463"/>
      <c r="V92" s="122"/>
      <c r="W92" s="122"/>
    </row>
    <row r="93" spans="2:131" ht="13.5" customHeight="1" x14ac:dyDescent="0.2">
      <c r="B93" s="117"/>
      <c r="C93" s="129"/>
      <c r="D93" s="129"/>
      <c r="E93" s="129"/>
      <c r="F93" s="129"/>
      <c r="G93" s="129"/>
      <c r="H93" s="129"/>
      <c r="I93" s="129"/>
      <c r="J93" s="129"/>
      <c r="K93" s="129"/>
      <c r="L93" s="129"/>
      <c r="M93" s="129"/>
      <c r="N93" s="129"/>
      <c r="O93" s="129"/>
      <c r="P93" s="129"/>
      <c r="Q93" s="129"/>
      <c r="R93" s="129"/>
      <c r="S93" s="129"/>
      <c r="T93" s="129"/>
      <c r="U93" s="129"/>
      <c r="V93" s="122"/>
      <c r="W93" s="122"/>
    </row>
    <row r="94" spans="2:131" ht="13.5" customHeight="1" x14ac:dyDescent="0.2">
      <c r="B94" s="462" t="s">
        <v>134</v>
      </c>
      <c r="C94" s="462"/>
      <c r="D94" s="462"/>
      <c r="E94" s="462"/>
      <c r="F94" s="462"/>
      <c r="G94" s="462"/>
      <c r="H94" s="462"/>
      <c r="I94" s="462"/>
      <c r="J94" s="462"/>
      <c r="K94" s="462"/>
      <c r="L94" s="462"/>
      <c r="M94" s="462"/>
      <c r="N94" s="462"/>
      <c r="O94" s="462"/>
      <c r="P94" s="462"/>
      <c r="Q94" s="462"/>
      <c r="R94" s="462"/>
      <c r="S94" s="474"/>
      <c r="T94" s="474"/>
      <c r="U94" s="474"/>
      <c r="V94" s="122"/>
      <c r="W94" s="122"/>
    </row>
    <row r="95" spans="2:131" ht="13.5" customHeight="1" x14ac:dyDescent="0.2">
      <c r="B95" s="462" t="s">
        <v>182</v>
      </c>
      <c r="C95" s="462"/>
      <c r="D95" s="462"/>
      <c r="E95" s="462"/>
      <c r="F95" s="462"/>
      <c r="G95" s="462"/>
      <c r="H95" s="462"/>
      <c r="I95" s="462"/>
      <c r="J95" s="462"/>
      <c r="K95" s="462"/>
      <c r="L95" s="462"/>
      <c r="M95" s="462"/>
      <c r="N95" s="462"/>
      <c r="O95" s="462"/>
      <c r="P95" s="462"/>
      <c r="Q95" s="462"/>
      <c r="R95" s="462"/>
      <c r="S95" s="473"/>
      <c r="T95" s="473"/>
      <c r="U95" s="473"/>
      <c r="V95" s="122"/>
      <c r="W95" s="122"/>
    </row>
    <row r="96" spans="2:131" ht="13.5" customHeight="1" x14ac:dyDescent="0.2">
      <c r="B96" s="462" t="s">
        <v>179</v>
      </c>
      <c r="C96" s="463"/>
      <c r="D96" s="463"/>
      <c r="E96" s="463"/>
      <c r="F96" s="463"/>
      <c r="G96" s="463"/>
      <c r="H96" s="463"/>
      <c r="I96" s="463"/>
      <c r="J96" s="463"/>
      <c r="K96" s="463"/>
      <c r="L96" s="463"/>
      <c r="M96" s="463"/>
      <c r="N96" s="463"/>
      <c r="O96" s="463"/>
      <c r="P96" s="463"/>
      <c r="Q96" s="463"/>
      <c r="R96" s="463"/>
      <c r="S96" s="463"/>
      <c r="T96" s="463"/>
      <c r="U96" s="463"/>
      <c r="V96" s="122"/>
      <c r="W96" s="122"/>
    </row>
    <row r="97" spans="2:23" ht="13.5" customHeight="1" x14ac:dyDescent="0.2">
      <c r="B97" s="150" t="s">
        <v>150</v>
      </c>
      <c r="C97" s="117"/>
      <c r="D97" s="117"/>
      <c r="E97" s="117"/>
      <c r="F97" s="117"/>
      <c r="G97" s="117"/>
      <c r="H97" s="117"/>
      <c r="I97" s="117"/>
      <c r="J97" s="117"/>
      <c r="K97" s="117"/>
      <c r="L97" s="117"/>
      <c r="M97" s="117"/>
      <c r="N97" s="117"/>
      <c r="O97" s="117"/>
      <c r="P97" s="117"/>
      <c r="Q97" s="117"/>
      <c r="R97" s="117"/>
      <c r="S97" s="117"/>
      <c r="T97" s="117"/>
      <c r="U97" s="117"/>
      <c r="V97" s="122"/>
      <c r="W97" s="122"/>
    </row>
    <row r="98" spans="2:23" ht="13.5" customHeight="1" x14ac:dyDescent="0.2">
      <c r="B98" s="117"/>
      <c r="C98" s="117"/>
      <c r="D98" s="117"/>
      <c r="E98" s="117"/>
      <c r="F98" s="117"/>
      <c r="G98" s="117"/>
      <c r="H98" s="117"/>
      <c r="I98" s="117"/>
      <c r="J98" s="117"/>
      <c r="K98" s="117"/>
      <c r="L98" s="117"/>
      <c r="M98" s="117"/>
      <c r="N98" s="117"/>
      <c r="O98" s="117"/>
      <c r="P98" s="117"/>
      <c r="Q98" s="117"/>
      <c r="R98" s="117"/>
      <c r="S98" s="117"/>
      <c r="T98" s="117"/>
      <c r="U98" s="117"/>
      <c r="V98" s="122"/>
      <c r="W98" s="122"/>
    </row>
    <row r="99" spans="2:23" ht="13.5" customHeight="1" x14ac:dyDescent="0.2">
      <c r="B99" s="117"/>
      <c r="C99" s="117"/>
      <c r="D99" s="117"/>
      <c r="E99" s="117"/>
      <c r="F99" s="117"/>
      <c r="G99" s="117"/>
      <c r="H99" s="117"/>
      <c r="I99" s="117"/>
      <c r="J99" s="117"/>
      <c r="K99" s="117"/>
      <c r="L99" s="117"/>
      <c r="M99" s="117"/>
      <c r="N99" s="117"/>
      <c r="O99" s="117"/>
      <c r="P99" s="117"/>
      <c r="Q99" s="117"/>
      <c r="R99" s="117"/>
      <c r="S99" s="117"/>
      <c r="T99" s="117"/>
      <c r="U99" s="117"/>
      <c r="V99" s="122"/>
      <c r="W99" s="122"/>
    </row>
    <row r="100" spans="2:23" ht="13.5" customHeight="1" x14ac:dyDescent="0.2">
      <c r="B100" s="117"/>
      <c r="C100" s="117"/>
      <c r="D100" s="117"/>
      <c r="E100" s="117"/>
      <c r="F100" s="117"/>
      <c r="G100" s="117"/>
      <c r="H100" s="117"/>
      <c r="I100" s="117"/>
      <c r="J100" s="117"/>
      <c r="K100" s="117"/>
      <c r="L100" s="117"/>
      <c r="M100" s="117"/>
      <c r="N100" s="117"/>
      <c r="O100" s="117"/>
      <c r="P100" s="117"/>
      <c r="Q100" s="117"/>
      <c r="R100" s="117"/>
      <c r="S100" s="117"/>
      <c r="T100" s="117"/>
      <c r="U100" s="117"/>
      <c r="V100" s="122"/>
      <c r="W100" s="122"/>
    </row>
    <row r="101" spans="2:23" ht="13.5" customHeight="1" x14ac:dyDescent="0.2">
      <c r="B101" s="117"/>
      <c r="C101" s="117"/>
      <c r="D101" s="117"/>
      <c r="E101" s="117"/>
      <c r="F101" s="117"/>
      <c r="G101" s="117"/>
      <c r="H101" s="117"/>
      <c r="I101" s="117"/>
      <c r="J101" s="117"/>
      <c r="K101" s="117"/>
      <c r="L101" s="117"/>
      <c r="M101" s="117"/>
      <c r="N101" s="117"/>
      <c r="O101" s="117"/>
      <c r="P101" s="117"/>
      <c r="Q101" s="117"/>
      <c r="R101" s="117"/>
      <c r="S101" s="117"/>
      <c r="T101" s="117"/>
      <c r="U101" s="117"/>
      <c r="V101" s="122"/>
      <c r="W101" s="122"/>
    </row>
    <row r="102" spans="2:23" ht="13.5" customHeight="1" x14ac:dyDescent="0.2">
      <c r="B102" s="117"/>
      <c r="C102" s="117"/>
      <c r="D102" s="117"/>
      <c r="E102" s="117"/>
      <c r="F102" s="117"/>
      <c r="G102" s="117"/>
      <c r="H102" s="117"/>
      <c r="I102" s="117"/>
      <c r="J102" s="117"/>
      <c r="K102" s="117"/>
      <c r="L102" s="117"/>
      <c r="M102" s="117"/>
      <c r="N102" s="117"/>
      <c r="O102" s="117"/>
      <c r="P102" s="117"/>
      <c r="Q102" s="117"/>
      <c r="R102" s="117"/>
      <c r="S102" s="117"/>
      <c r="T102" s="117"/>
      <c r="U102" s="117"/>
      <c r="V102" s="122"/>
      <c r="W102" s="122"/>
    </row>
    <row r="103" spans="2:23" ht="13.5" customHeight="1" x14ac:dyDescent="0.2">
      <c r="B103" s="117"/>
      <c r="C103" s="117"/>
      <c r="D103" s="117"/>
      <c r="E103" s="117"/>
      <c r="F103" s="117"/>
      <c r="G103" s="117"/>
      <c r="H103" s="117"/>
      <c r="I103" s="117"/>
      <c r="J103" s="117"/>
      <c r="K103" s="117"/>
      <c r="L103" s="117"/>
      <c r="M103" s="117"/>
      <c r="N103" s="117"/>
      <c r="O103" s="117"/>
      <c r="P103" s="117"/>
      <c r="Q103" s="117"/>
      <c r="R103" s="117"/>
      <c r="S103" s="117"/>
      <c r="T103" s="117"/>
      <c r="U103" s="117"/>
      <c r="V103" s="122"/>
      <c r="W103" s="122"/>
    </row>
    <row r="104" spans="2:23" ht="13.5" customHeight="1" x14ac:dyDescent="0.2">
      <c r="B104" s="117"/>
      <c r="C104" s="117"/>
      <c r="D104" s="117"/>
      <c r="E104" s="117"/>
      <c r="F104" s="117"/>
      <c r="G104" s="117"/>
      <c r="H104" s="117"/>
      <c r="I104" s="117"/>
      <c r="J104" s="117"/>
      <c r="K104" s="117"/>
      <c r="L104" s="117"/>
      <c r="M104" s="117"/>
      <c r="N104" s="117"/>
      <c r="O104" s="117"/>
      <c r="P104" s="117"/>
      <c r="Q104" s="117"/>
      <c r="R104" s="117"/>
      <c r="S104" s="117"/>
      <c r="T104" s="117"/>
      <c r="U104" s="117"/>
      <c r="V104" s="122"/>
      <c r="W104" s="122"/>
    </row>
    <row r="105" spans="2:23" ht="13.5" customHeight="1" x14ac:dyDescent="0.2">
      <c r="B105" s="117"/>
      <c r="C105" s="117"/>
      <c r="D105" s="117"/>
      <c r="E105" s="117"/>
      <c r="F105" s="117"/>
      <c r="G105" s="117"/>
      <c r="H105" s="117"/>
      <c r="I105" s="117"/>
      <c r="J105" s="117"/>
      <c r="K105" s="117"/>
      <c r="L105" s="117"/>
      <c r="M105" s="117"/>
      <c r="N105" s="117"/>
      <c r="O105" s="117"/>
      <c r="P105" s="117"/>
      <c r="Q105" s="117"/>
      <c r="R105" s="117"/>
      <c r="S105" s="117"/>
      <c r="T105" s="117"/>
      <c r="U105" s="117"/>
      <c r="V105" s="122"/>
      <c r="W105" s="122"/>
    </row>
    <row r="106" spans="2:23" ht="13.5" customHeight="1" x14ac:dyDescent="0.2">
      <c r="B106" s="117"/>
      <c r="C106" s="117"/>
      <c r="D106" s="117"/>
      <c r="E106" s="117"/>
      <c r="F106" s="117"/>
      <c r="G106" s="117"/>
      <c r="H106" s="117"/>
      <c r="I106" s="117"/>
      <c r="J106" s="117"/>
      <c r="K106" s="117"/>
      <c r="L106" s="117"/>
      <c r="M106" s="117"/>
      <c r="N106" s="117"/>
      <c r="O106" s="117"/>
      <c r="P106" s="117"/>
      <c r="Q106" s="117"/>
      <c r="R106" s="117"/>
      <c r="S106" s="117"/>
      <c r="T106" s="117"/>
      <c r="U106" s="117"/>
      <c r="V106" s="122"/>
      <c r="W106" s="122"/>
    </row>
    <row r="107" spans="2:23" ht="13.5" customHeight="1" x14ac:dyDescent="0.2">
      <c r="B107" s="117"/>
      <c r="C107" s="117"/>
      <c r="D107" s="117"/>
      <c r="E107" s="117"/>
      <c r="F107" s="117"/>
      <c r="G107" s="117"/>
      <c r="H107" s="117"/>
      <c r="I107" s="117"/>
      <c r="J107" s="117"/>
      <c r="K107" s="117"/>
      <c r="L107" s="117"/>
      <c r="M107" s="117"/>
      <c r="N107" s="117"/>
      <c r="O107" s="117"/>
      <c r="P107" s="117"/>
      <c r="Q107" s="117"/>
      <c r="R107" s="117"/>
      <c r="S107" s="117"/>
      <c r="T107" s="117"/>
      <c r="U107" s="117"/>
      <c r="V107" s="122"/>
      <c r="W107" s="122"/>
    </row>
    <row r="108" spans="2:23" ht="13.5" customHeight="1" x14ac:dyDescent="0.2">
      <c r="B108" s="117"/>
      <c r="C108" s="117"/>
      <c r="D108" s="117"/>
      <c r="E108" s="117"/>
      <c r="F108" s="117"/>
      <c r="G108" s="117"/>
      <c r="H108" s="117"/>
      <c r="I108" s="117"/>
      <c r="J108" s="117"/>
      <c r="K108" s="117"/>
      <c r="L108" s="117"/>
      <c r="M108" s="117"/>
      <c r="N108" s="117"/>
      <c r="O108" s="117"/>
      <c r="P108" s="117"/>
      <c r="Q108" s="117"/>
      <c r="R108" s="117"/>
      <c r="S108" s="117"/>
      <c r="T108" s="117"/>
      <c r="U108" s="117"/>
      <c r="V108" s="122"/>
      <c r="W108" s="122"/>
    </row>
    <row r="109" spans="2:23" ht="13.5" customHeight="1" x14ac:dyDescent="0.2">
      <c r="B109" s="117"/>
      <c r="C109" s="117"/>
      <c r="D109" s="117"/>
      <c r="E109" s="117"/>
      <c r="F109" s="117"/>
      <c r="G109" s="117"/>
      <c r="H109" s="117"/>
      <c r="I109" s="117"/>
      <c r="J109" s="117"/>
      <c r="K109" s="117"/>
      <c r="L109" s="117"/>
      <c r="M109" s="117"/>
      <c r="N109" s="117"/>
      <c r="O109" s="117"/>
      <c r="P109" s="117"/>
      <c r="Q109" s="117"/>
      <c r="R109" s="117"/>
      <c r="S109" s="117"/>
      <c r="T109" s="117"/>
      <c r="U109" s="117"/>
      <c r="V109" s="122"/>
      <c r="W109" s="122"/>
    </row>
    <row r="110" spans="2:23" ht="13.5" customHeight="1" x14ac:dyDescent="0.2">
      <c r="B110" s="117"/>
      <c r="C110" s="117"/>
      <c r="D110" s="117"/>
      <c r="E110" s="117"/>
      <c r="F110" s="117"/>
      <c r="G110" s="117"/>
      <c r="H110" s="117"/>
      <c r="I110" s="117"/>
      <c r="J110" s="117"/>
      <c r="K110" s="117"/>
      <c r="L110" s="117"/>
      <c r="M110" s="117"/>
      <c r="N110" s="117"/>
      <c r="O110" s="117"/>
      <c r="P110" s="117"/>
      <c r="Q110" s="117"/>
      <c r="R110" s="117"/>
      <c r="S110" s="117"/>
      <c r="T110" s="117"/>
      <c r="U110" s="117"/>
      <c r="V110" s="122"/>
      <c r="W110" s="122"/>
    </row>
    <row r="111" spans="2:23" ht="13.5" customHeight="1" x14ac:dyDescent="0.2">
      <c r="B111" s="117"/>
      <c r="C111" s="117"/>
      <c r="D111" s="117"/>
      <c r="E111" s="117"/>
      <c r="F111" s="117"/>
      <c r="G111" s="117"/>
      <c r="H111" s="117"/>
      <c r="I111" s="117"/>
      <c r="J111" s="117"/>
      <c r="K111" s="117"/>
      <c r="L111" s="117"/>
      <c r="M111" s="117"/>
      <c r="N111" s="117"/>
      <c r="O111" s="117"/>
      <c r="P111" s="117"/>
      <c r="Q111" s="117"/>
      <c r="R111" s="117"/>
      <c r="S111" s="117"/>
      <c r="T111" s="117"/>
      <c r="U111" s="117"/>
      <c r="V111" s="122"/>
      <c r="W111" s="122"/>
    </row>
    <row r="112" spans="2:23" ht="13.5" customHeight="1" x14ac:dyDescent="0.2">
      <c r="B112" s="117"/>
      <c r="C112" s="117"/>
      <c r="D112" s="117"/>
      <c r="E112" s="117"/>
      <c r="F112" s="117"/>
      <c r="G112" s="117"/>
      <c r="H112" s="117"/>
      <c r="I112" s="117"/>
      <c r="J112" s="117"/>
      <c r="K112" s="117"/>
      <c r="L112" s="117"/>
      <c r="M112" s="117"/>
      <c r="N112" s="117"/>
      <c r="O112" s="117"/>
      <c r="P112" s="117"/>
      <c r="Q112" s="117"/>
      <c r="R112" s="117"/>
      <c r="S112" s="117"/>
      <c r="T112" s="117"/>
      <c r="U112" s="117"/>
      <c r="V112" s="122"/>
      <c r="W112" s="122"/>
    </row>
    <row r="113" spans="2:1269" ht="13.5" customHeight="1" x14ac:dyDescent="0.2">
      <c r="B113" s="117"/>
      <c r="C113" s="117"/>
      <c r="D113" s="117"/>
      <c r="E113" s="117"/>
      <c r="F113" s="117"/>
      <c r="G113" s="117"/>
      <c r="H113" s="117"/>
      <c r="I113" s="117"/>
      <c r="J113" s="117"/>
      <c r="K113" s="117"/>
      <c r="L113" s="117"/>
      <c r="M113" s="117"/>
      <c r="N113" s="117"/>
      <c r="O113" s="117"/>
      <c r="P113" s="117"/>
      <c r="Q113" s="117"/>
      <c r="R113" s="117"/>
      <c r="S113" s="117"/>
      <c r="T113" s="117"/>
      <c r="U113" s="117"/>
      <c r="V113" s="122"/>
      <c r="W113" s="122"/>
    </row>
    <row r="114" spans="2:1269" ht="13.5" customHeight="1" x14ac:dyDescent="0.2">
      <c r="B114" s="117"/>
      <c r="C114" s="117"/>
      <c r="D114" s="117"/>
      <c r="E114" s="117"/>
      <c r="F114" s="117"/>
      <c r="G114" s="117"/>
      <c r="H114" s="117"/>
      <c r="I114" s="117"/>
      <c r="J114" s="117"/>
      <c r="K114" s="117"/>
      <c r="L114" s="117"/>
      <c r="M114" s="117"/>
      <c r="N114" s="117"/>
      <c r="O114" s="117"/>
      <c r="P114" s="117"/>
      <c r="Q114" s="117"/>
      <c r="R114" s="117"/>
      <c r="S114" s="117"/>
      <c r="T114" s="117"/>
      <c r="U114" s="117"/>
      <c r="V114" s="122"/>
      <c r="W114" s="122"/>
    </row>
    <row r="115" spans="2:1269" ht="13.5" customHeight="1" x14ac:dyDescent="0.2">
      <c r="B115" s="117"/>
      <c r="C115" s="117"/>
      <c r="D115" s="117"/>
      <c r="E115" s="117"/>
      <c r="F115" s="117"/>
      <c r="G115" s="117"/>
      <c r="H115" s="117"/>
      <c r="I115" s="117"/>
      <c r="J115" s="117"/>
      <c r="K115" s="117"/>
      <c r="L115" s="117"/>
      <c r="M115" s="117"/>
      <c r="N115" s="117"/>
      <c r="O115" s="117"/>
      <c r="P115" s="117"/>
      <c r="Q115" s="117"/>
      <c r="R115" s="117"/>
      <c r="S115" s="117"/>
      <c r="T115" s="117"/>
      <c r="U115" s="117"/>
      <c r="V115" s="122"/>
      <c r="W115" s="122"/>
    </row>
    <row r="116" spans="2:1269" ht="13.5" customHeight="1" x14ac:dyDescent="0.2">
      <c r="B116" s="117"/>
      <c r="C116" s="117"/>
      <c r="D116" s="117"/>
      <c r="E116" s="117"/>
      <c r="F116" s="117"/>
      <c r="G116" s="117"/>
      <c r="H116" s="117"/>
      <c r="I116" s="117"/>
      <c r="J116" s="117"/>
      <c r="K116" s="117"/>
      <c r="L116" s="117"/>
      <c r="M116" s="117"/>
      <c r="N116" s="117"/>
      <c r="O116" s="117"/>
      <c r="P116" s="117"/>
      <c r="Q116" s="117"/>
      <c r="R116" s="117"/>
      <c r="S116" s="117"/>
      <c r="T116" s="117"/>
      <c r="U116" s="117"/>
      <c r="V116" s="122"/>
      <c r="W116" s="122"/>
    </row>
    <row r="117" spans="2:1269" ht="13.5" customHeight="1" x14ac:dyDescent="0.2">
      <c r="B117" s="117"/>
      <c r="C117" s="117"/>
      <c r="D117" s="117"/>
      <c r="E117" s="117"/>
      <c r="F117" s="117"/>
      <c r="G117" s="117"/>
      <c r="H117" s="117"/>
      <c r="I117" s="117"/>
      <c r="J117" s="117"/>
      <c r="K117" s="117"/>
      <c r="L117" s="117"/>
      <c r="M117" s="117"/>
      <c r="N117" s="117"/>
      <c r="O117" s="117"/>
      <c r="P117" s="117"/>
      <c r="Q117" s="117"/>
      <c r="R117" s="117"/>
      <c r="S117" s="117"/>
      <c r="T117" s="117"/>
      <c r="U117" s="117"/>
      <c r="V117" s="122"/>
      <c r="W117" s="122"/>
    </row>
    <row r="118" spans="2:1269" ht="13.5" customHeight="1" x14ac:dyDescent="0.2">
      <c r="B118" s="117"/>
      <c r="C118" s="117"/>
      <c r="D118" s="117"/>
      <c r="E118" s="117"/>
      <c r="F118" s="117"/>
      <c r="G118" s="117"/>
      <c r="H118" s="117"/>
      <c r="I118" s="117"/>
      <c r="J118" s="117"/>
      <c r="K118" s="117"/>
      <c r="L118" s="117"/>
      <c r="M118" s="117"/>
      <c r="N118" s="117"/>
      <c r="O118" s="117"/>
      <c r="P118" s="117"/>
      <c r="Q118" s="117"/>
      <c r="R118" s="117"/>
      <c r="S118" s="117"/>
      <c r="T118" s="117"/>
      <c r="U118" s="117"/>
      <c r="V118" s="122"/>
      <c r="W118" s="122"/>
    </row>
    <row r="119" spans="2:1269" ht="13.5" customHeight="1" x14ac:dyDescent="0.2">
      <c r="B119" s="117"/>
      <c r="C119" s="117"/>
      <c r="D119" s="117"/>
      <c r="E119" s="117"/>
      <c r="F119" s="117"/>
      <c r="G119" s="117"/>
      <c r="H119" s="117"/>
      <c r="I119" s="117"/>
      <c r="J119" s="117"/>
      <c r="K119" s="117"/>
      <c r="L119" s="117"/>
      <c r="M119" s="117"/>
      <c r="N119" s="117"/>
      <c r="O119" s="117"/>
      <c r="P119" s="117"/>
      <c r="Q119" s="117"/>
      <c r="R119" s="117"/>
      <c r="S119" s="117"/>
      <c r="T119" s="117"/>
      <c r="U119" s="117"/>
      <c r="V119" s="122"/>
      <c r="W119" s="122"/>
    </row>
    <row r="120" spans="2:1269" ht="13.5" customHeight="1" x14ac:dyDescent="0.2">
      <c r="B120" s="117"/>
      <c r="C120" s="117"/>
      <c r="D120" s="117"/>
      <c r="E120" s="117"/>
      <c r="F120" s="117"/>
      <c r="G120" s="117"/>
      <c r="H120" s="117"/>
      <c r="I120" s="117"/>
      <c r="J120" s="117"/>
      <c r="K120" s="117"/>
      <c r="L120" s="117"/>
      <c r="M120" s="117"/>
      <c r="N120" s="117"/>
      <c r="O120" s="117"/>
      <c r="P120" s="117"/>
      <c r="Q120" s="117"/>
      <c r="R120" s="117"/>
      <c r="S120" s="117"/>
      <c r="T120" s="117"/>
      <c r="U120" s="117"/>
      <c r="V120" s="117"/>
      <c r="W120" s="117"/>
      <c r="X120" s="117"/>
      <c r="Y120" s="117"/>
      <c r="Z120" s="117"/>
      <c r="AA120" s="117"/>
      <c r="AB120" s="117"/>
      <c r="AC120" s="117"/>
      <c r="AD120" s="117"/>
      <c r="AE120" s="117"/>
      <c r="AF120" s="117"/>
      <c r="AG120" s="117"/>
      <c r="AH120" s="117"/>
      <c r="AI120" s="117"/>
      <c r="AJ120" s="117"/>
      <c r="AK120" s="117"/>
      <c r="AL120" s="117"/>
      <c r="AM120" s="117"/>
      <c r="AN120" s="117"/>
      <c r="AO120" s="117"/>
      <c r="AP120" s="117"/>
      <c r="AQ120" s="117"/>
      <c r="AR120" s="117"/>
      <c r="AS120" s="117"/>
      <c r="AT120" s="117"/>
      <c r="AU120" s="117"/>
      <c r="AV120" s="117"/>
      <c r="AW120" s="117"/>
      <c r="AX120" s="117"/>
      <c r="AY120" s="117"/>
      <c r="AZ120" s="117"/>
      <c r="BA120" s="117"/>
      <c r="BB120" s="117"/>
      <c r="BC120" s="117"/>
      <c r="BD120" s="117"/>
      <c r="BE120" s="117"/>
      <c r="BF120" s="117"/>
      <c r="BG120" s="117"/>
      <c r="BH120" s="117"/>
      <c r="BI120" s="117"/>
      <c r="BJ120" s="117"/>
      <c r="BK120" s="117"/>
      <c r="BL120" s="117"/>
      <c r="BM120" s="117"/>
      <c r="BN120" s="117"/>
      <c r="BO120" s="117"/>
      <c r="BP120" s="117"/>
      <c r="BQ120" s="117"/>
      <c r="BR120" s="117"/>
      <c r="BS120" s="117"/>
      <c r="BT120" s="117"/>
      <c r="BU120" s="117"/>
      <c r="BV120" s="117"/>
      <c r="BW120" s="117"/>
      <c r="BX120" s="117"/>
      <c r="BY120" s="117"/>
      <c r="BZ120" s="117"/>
      <c r="CA120" s="117"/>
      <c r="CB120" s="117"/>
      <c r="CC120" s="117"/>
      <c r="CD120" s="117"/>
      <c r="CE120" s="117"/>
      <c r="CF120" s="117"/>
      <c r="CG120" s="117"/>
      <c r="CH120" s="117"/>
      <c r="CI120" s="117"/>
      <c r="CJ120" s="117"/>
      <c r="CK120" s="117"/>
      <c r="CL120" s="117"/>
      <c r="CM120" s="117"/>
      <c r="CN120" s="117"/>
      <c r="CO120" s="117"/>
      <c r="CP120" s="117"/>
      <c r="CQ120" s="117"/>
      <c r="CR120" s="117"/>
      <c r="CS120" s="117"/>
      <c r="CT120" s="117"/>
      <c r="CU120" s="117"/>
      <c r="CV120" s="117"/>
      <c r="CW120" s="117"/>
      <c r="CX120" s="117"/>
      <c r="CY120" s="117"/>
      <c r="CZ120" s="117"/>
      <c r="DA120" s="117"/>
      <c r="DB120" s="117"/>
      <c r="DC120" s="117"/>
      <c r="DD120" s="117"/>
      <c r="DE120" s="117"/>
      <c r="DF120" s="117"/>
      <c r="DG120" s="117"/>
      <c r="DH120" s="117"/>
      <c r="DI120" s="117"/>
      <c r="DJ120" s="117"/>
      <c r="DK120" s="117"/>
      <c r="DL120" s="117"/>
      <c r="DM120" s="117"/>
      <c r="DN120" s="117"/>
      <c r="DO120" s="117"/>
      <c r="DP120" s="117"/>
      <c r="DQ120" s="117"/>
      <c r="DR120" s="117"/>
      <c r="DS120" s="117"/>
      <c r="DT120" s="117"/>
      <c r="DU120" s="208"/>
      <c r="DV120" s="208"/>
      <c r="DW120" s="208"/>
      <c r="DX120" s="208"/>
      <c r="DY120" s="208"/>
      <c r="DZ120" s="208"/>
      <c r="EA120" s="208"/>
      <c r="EB120" s="117"/>
      <c r="EC120" s="117"/>
      <c r="ED120" s="117"/>
      <c r="EE120" s="117"/>
      <c r="EF120" s="117"/>
      <c r="EG120" s="117"/>
      <c r="EH120" s="117"/>
      <c r="EI120" s="117"/>
      <c r="EJ120" s="117"/>
      <c r="EK120" s="117"/>
      <c r="EL120" s="117"/>
      <c r="EM120" s="117"/>
      <c r="EN120" s="117"/>
      <c r="EO120" s="117"/>
      <c r="EP120" s="117"/>
      <c r="EQ120" s="117"/>
      <c r="ER120" s="117"/>
      <c r="ES120" s="117"/>
      <c r="ET120" s="117"/>
      <c r="EU120" s="117"/>
      <c r="EV120" s="117"/>
      <c r="EW120" s="117"/>
      <c r="EX120" s="117"/>
      <c r="EY120" s="117"/>
      <c r="EZ120" s="117"/>
      <c r="FA120" s="117"/>
      <c r="FB120" s="117"/>
      <c r="FC120" s="117"/>
      <c r="FD120" s="117"/>
      <c r="FE120" s="117"/>
      <c r="FF120" s="117"/>
      <c r="FG120" s="117"/>
      <c r="FH120" s="117"/>
      <c r="FI120" s="117"/>
      <c r="FJ120" s="117"/>
      <c r="FK120" s="117"/>
      <c r="FL120" s="117"/>
      <c r="FM120" s="117"/>
      <c r="FN120" s="117"/>
      <c r="FO120" s="117"/>
      <c r="FP120" s="117"/>
      <c r="FQ120" s="117"/>
      <c r="FR120" s="117"/>
      <c r="FS120" s="117"/>
      <c r="FT120" s="117"/>
      <c r="FU120" s="117"/>
      <c r="FV120" s="117"/>
      <c r="FW120" s="117"/>
      <c r="FX120" s="117"/>
      <c r="FY120" s="117"/>
      <c r="FZ120" s="117"/>
      <c r="GA120" s="117"/>
      <c r="GB120" s="117"/>
      <c r="GC120" s="117"/>
      <c r="GD120" s="117"/>
      <c r="GE120" s="117"/>
      <c r="GF120" s="117"/>
      <c r="GG120" s="117"/>
      <c r="GH120" s="117"/>
      <c r="GI120" s="117"/>
      <c r="GJ120" s="117"/>
      <c r="GK120" s="117"/>
      <c r="GL120" s="117"/>
      <c r="GM120" s="117"/>
      <c r="GN120" s="117"/>
      <c r="GO120" s="117"/>
      <c r="GP120" s="117"/>
      <c r="GQ120" s="117"/>
      <c r="GR120" s="117"/>
      <c r="GS120" s="117"/>
      <c r="GT120" s="117"/>
      <c r="GU120" s="117"/>
      <c r="GV120" s="117"/>
      <c r="GW120" s="117"/>
      <c r="GX120" s="117"/>
      <c r="GY120" s="117"/>
      <c r="GZ120" s="117"/>
      <c r="HA120" s="117"/>
      <c r="HB120" s="117"/>
      <c r="HC120" s="117"/>
      <c r="HD120" s="117"/>
      <c r="HE120" s="117"/>
      <c r="HF120" s="117"/>
      <c r="HG120" s="117"/>
      <c r="HH120" s="117"/>
      <c r="HI120" s="117"/>
      <c r="HJ120" s="117"/>
      <c r="HK120" s="117"/>
      <c r="HL120" s="117"/>
      <c r="HM120" s="117"/>
      <c r="HN120" s="117"/>
      <c r="HO120" s="117"/>
      <c r="HP120" s="117"/>
      <c r="HQ120" s="117"/>
      <c r="HR120" s="117"/>
      <c r="HS120" s="117"/>
      <c r="HT120" s="117"/>
      <c r="HU120" s="117"/>
      <c r="HV120" s="117"/>
      <c r="HW120" s="117"/>
      <c r="HX120" s="117"/>
      <c r="HY120" s="117"/>
      <c r="HZ120" s="117"/>
      <c r="IA120" s="117"/>
      <c r="IB120" s="117"/>
      <c r="IC120" s="117"/>
      <c r="ID120" s="117"/>
      <c r="IE120" s="117"/>
      <c r="IF120" s="117"/>
      <c r="IG120" s="117"/>
      <c r="IH120" s="117"/>
      <c r="II120" s="117"/>
      <c r="IJ120" s="117"/>
      <c r="IK120" s="117"/>
      <c r="IL120" s="117"/>
      <c r="IM120" s="117"/>
      <c r="IN120" s="117"/>
      <c r="IO120" s="117"/>
      <c r="IP120" s="117"/>
      <c r="IQ120" s="117"/>
      <c r="IR120" s="117"/>
      <c r="IS120" s="117"/>
      <c r="IT120" s="117"/>
      <c r="IU120" s="117"/>
      <c r="IV120" s="117"/>
      <c r="IW120" s="117"/>
      <c r="IX120" s="117"/>
      <c r="IY120" s="117"/>
      <c r="IZ120" s="117"/>
      <c r="JA120" s="117"/>
      <c r="JB120" s="117"/>
      <c r="JC120" s="117"/>
      <c r="JD120" s="117"/>
      <c r="JE120" s="117"/>
      <c r="JF120" s="117"/>
      <c r="JG120" s="117"/>
      <c r="JH120" s="117"/>
      <c r="JI120" s="117"/>
      <c r="JJ120" s="117"/>
      <c r="JK120" s="117"/>
      <c r="JL120" s="117"/>
      <c r="JM120" s="117"/>
      <c r="JN120" s="117"/>
      <c r="JO120" s="117"/>
      <c r="JP120" s="117"/>
      <c r="JQ120" s="117"/>
      <c r="JR120" s="117"/>
      <c r="JS120" s="117"/>
      <c r="JT120" s="117"/>
      <c r="JU120" s="117"/>
      <c r="JV120" s="117"/>
      <c r="JW120" s="117"/>
      <c r="JX120" s="117"/>
      <c r="JY120" s="117"/>
      <c r="JZ120" s="117"/>
      <c r="KA120" s="117"/>
      <c r="KB120" s="117"/>
      <c r="KC120" s="117"/>
      <c r="KD120" s="117"/>
      <c r="KE120" s="117"/>
      <c r="KF120" s="117"/>
      <c r="KG120" s="117"/>
      <c r="KH120" s="117"/>
      <c r="KI120" s="117"/>
      <c r="KJ120" s="117"/>
      <c r="KK120" s="117"/>
      <c r="KL120" s="117"/>
      <c r="KM120" s="117"/>
      <c r="KN120" s="117"/>
      <c r="KO120" s="117"/>
      <c r="KP120" s="117"/>
      <c r="KQ120" s="117"/>
      <c r="KR120" s="117"/>
      <c r="KS120" s="117"/>
      <c r="KT120" s="117"/>
      <c r="KU120" s="117"/>
      <c r="KV120" s="117"/>
      <c r="KW120" s="117"/>
      <c r="KX120" s="117"/>
      <c r="KY120" s="117"/>
      <c r="KZ120" s="117"/>
      <c r="LA120" s="117"/>
      <c r="LB120" s="117"/>
      <c r="LC120" s="117"/>
      <c r="LD120" s="117"/>
      <c r="LE120" s="117"/>
      <c r="LF120" s="117"/>
      <c r="LG120" s="117"/>
      <c r="LH120" s="117"/>
      <c r="LI120" s="117"/>
      <c r="LJ120" s="117"/>
      <c r="LK120" s="117"/>
      <c r="LL120" s="117"/>
      <c r="LM120" s="117"/>
      <c r="LN120" s="117"/>
      <c r="LO120" s="117"/>
      <c r="LP120" s="117"/>
      <c r="LQ120" s="117"/>
      <c r="LR120" s="117"/>
      <c r="LS120" s="117"/>
      <c r="LT120" s="117"/>
      <c r="LU120" s="117"/>
      <c r="LV120" s="117"/>
      <c r="LW120" s="117"/>
      <c r="LX120" s="117"/>
      <c r="LY120" s="117"/>
      <c r="LZ120" s="117"/>
      <c r="MA120" s="117"/>
      <c r="MB120" s="117"/>
      <c r="MC120" s="117"/>
      <c r="MD120" s="117"/>
      <c r="ME120" s="117"/>
      <c r="MF120" s="117"/>
      <c r="MG120" s="117"/>
      <c r="MH120" s="117"/>
      <c r="MI120" s="117"/>
      <c r="MJ120" s="117"/>
      <c r="MK120" s="117"/>
      <c r="ML120" s="117"/>
      <c r="MM120" s="117"/>
      <c r="MN120" s="117"/>
      <c r="MO120" s="117"/>
      <c r="MP120" s="117"/>
      <c r="MQ120" s="117"/>
      <c r="MR120" s="117"/>
      <c r="MS120" s="117"/>
      <c r="MT120" s="117"/>
      <c r="MU120" s="117"/>
      <c r="MV120" s="117"/>
      <c r="MW120" s="117"/>
      <c r="MX120" s="117"/>
      <c r="MY120" s="117"/>
      <c r="MZ120" s="117"/>
      <c r="NA120" s="117"/>
      <c r="NB120" s="117"/>
      <c r="NC120" s="117"/>
      <c r="ND120" s="117"/>
      <c r="NE120" s="117"/>
      <c r="NF120" s="117"/>
      <c r="NG120" s="117"/>
      <c r="NH120" s="117"/>
      <c r="NI120" s="117"/>
      <c r="NJ120" s="117"/>
      <c r="NK120" s="117"/>
      <c r="NL120" s="117"/>
      <c r="NM120" s="117"/>
      <c r="NN120" s="117"/>
      <c r="NO120" s="117"/>
      <c r="NP120" s="117"/>
      <c r="NQ120" s="117"/>
      <c r="NR120" s="117"/>
      <c r="NS120" s="117"/>
      <c r="NT120" s="117"/>
      <c r="NU120" s="117"/>
      <c r="NV120" s="117"/>
      <c r="NW120" s="117"/>
      <c r="NX120" s="117"/>
      <c r="NY120" s="117"/>
      <c r="NZ120" s="117"/>
      <c r="OA120" s="117"/>
      <c r="OB120" s="117"/>
      <c r="OC120" s="117"/>
      <c r="OD120" s="117"/>
      <c r="OE120" s="117"/>
      <c r="OF120" s="117"/>
      <c r="OG120" s="117"/>
      <c r="OH120" s="117"/>
      <c r="OI120" s="117"/>
      <c r="OJ120" s="117"/>
      <c r="OK120" s="117"/>
      <c r="OL120" s="117"/>
      <c r="OM120" s="117"/>
      <c r="ON120" s="117"/>
      <c r="OO120" s="117"/>
      <c r="OP120" s="117"/>
      <c r="OQ120" s="117"/>
      <c r="OR120" s="117"/>
      <c r="OS120" s="117"/>
      <c r="OT120" s="117"/>
      <c r="OU120" s="117"/>
      <c r="OV120" s="117"/>
      <c r="OW120" s="117"/>
      <c r="OX120" s="117"/>
      <c r="OY120" s="117"/>
      <c r="OZ120" s="117"/>
      <c r="PA120" s="117"/>
      <c r="PB120" s="117"/>
      <c r="PC120" s="117"/>
      <c r="PD120" s="117"/>
      <c r="PE120" s="117"/>
      <c r="PF120" s="117"/>
      <c r="PG120" s="117"/>
      <c r="PH120" s="117"/>
      <c r="PI120" s="117"/>
      <c r="PJ120" s="117"/>
      <c r="PK120" s="117"/>
      <c r="PL120" s="117"/>
      <c r="PM120" s="117"/>
      <c r="PN120" s="117"/>
      <c r="PO120" s="117"/>
      <c r="PP120" s="117"/>
      <c r="PQ120" s="117"/>
      <c r="PR120" s="117"/>
      <c r="PS120" s="117"/>
      <c r="PT120" s="117"/>
      <c r="PU120" s="117"/>
      <c r="PV120" s="117"/>
      <c r="PW120" s="117"/>
      <c r="PX120" s="117"/>
      <c r="PY120" s="117"/>
      <c r="PZ120" s="117"/>
      <c r="QA120" s="117"/>
      <c r="QB120" s="117"/>
      <c r="QC120" s="117"/>
      <c r="QD120" s="117"/>
      <c r="QE120" s="117"/>
      <c r="QF120" s="117"/>
      <c r="QG120" s="117"/>
      <c r="QH120" s="117"/>
      <c r="QI120" s="117"/>
      <c r="QJ120" s="117"/>
      <c r="QK120" s="117"/>
      <c r="QL120" s="117"/>
      <c r="QM120" s="117"/>
      <c r="QN120" s="117"/>
      <c r="QO120" s="117"/>
      <c r="QP120" s="117"/>
      <c r="QQ120" s="117"/>
      <c r="QR120" s="117"/>
      <c r="QS120" s="117"/>
      <c r="QT120" s="117"/>
      <c r="QU120" s="117"/>
      <c r="QV120" s="117"/>
      <c r="QW120" s="117"/>
      <c r="QX120" s="117"/>
      <c r="QY120" s="117"/>
      <c r="QZ120" s="117"/>
      <c r="RA120" s="117"/>
      <c r="RB120" s="117"/>
      <c r="RC120" s="117"/>
      <c r="RD120" s="117"/>
      <c r="RE120" s="117"/>
      <c r="RF120" s="117"/>
      <c r="RG120" s="117"/>
      <c r="RH120" s="117"/>
      <c r="RI120" s="117"/>
      <c r="RJ120" s="117"/>
      <c r="RK120" s="117"/>
      <c r="RL120" s="117"/>
      <c r="RM120" s="117"/>
      <c r="RN120" s="117"/>
      <c r="RO120" s="117"/>
      <c r="RP120" s="117"/>
      <c r="RQ120" s="117"/>
      <c r="RR120" s="117"/>
      <c r="RS120" s="117"/>
      <c r="RT120" s="117"/>
      <c r="RU120" s="117"/>
      <c r="RV120" s="117"/>
      <c r="RW120" s="117"/>
      <c r="RX120" s="117"/>
      <c r="RY120" s="117"/>
      <c r="RZ120" s="117"/>
      <c r="SA120" s="117"/>
      <c r="SB120" s="117"/>
      <c r="SC120" s="117"/>
      <c r="SD120" s="117"/>
      <c r="SE120" s="117"/>
      <c r="SF120" s="117"/>
      <c r="SG120" s="117"/>
      <c r="SH120" s="117"/>
      <c r="SI120" s="117"/>
      <c r="SJ120" s="117"/>
      <c r="SK120" s="117"/>
      <c r="SL120" s="117"/>
      <c r="SM120" s="117"/>
      <c r="SN120" s="117"/>
      <c r="SO120" s="117"/>
      <c r="SP120" s="117"/>
      <c r="SQ120" s="117"/>
      <c r="SR120" s="117"/>
      <c r="SS120" s="117"/>
      <c r="ST120" s="117"/>
      <c r="SU120" s="117"/>
      <c r="SV120" s="117"/>
      <c r="SW120" s="117"/>
      <c r="SX120" s="117"/>
      <c r="SY120" s="117"/>
      <c r="SZ120" s="117"/>
      <c r="TA120" s="117"/>
      <c r="TB120" s="117"/>
      <c r="TC120" s="117"/>
      <c r="TD120" s="117"/>
      <c r="TE120" s="117"/>
      <c r="TF120" s="117"/>
      <c r="TG120" s="117"/>
      <c r="TH120" s="117"/>
      <c r="TI120" s="117"/>
      <c r="TJ120" s="117"/>
      <c r="TK120" s="117"/>
      <c r="TL120" s="117"/>
      <c r="TM120" s="117"/>
      <c r="TN120" s="117"/>
      <c r="TO120" s="117"/>
      <c r="TP120" s="117"/>
      <c r="TQ120" s="117"/>
      <c r="TR120" s="117"/>
      <c r="TS120" s="117"/>
      <c r="TT120" s="117"/>
      <c r="TU120" s="117"/>
      <c r="TV120" s="117"/>
      <c r="TW120" s="117"/>
      <c r="TX120" s="117"/>
      <c r="TY120" s="117"/>
      <c r="TZ120" s="117"/>
      <c r="UA120" s="117"/>
      <c r="UB120" s="117"/>
      <c r="UC120" s="117"/>
      <c r="UD120" s="117"/>
      <c r="UE120" s="117"/>
      <c r="UF120" s="117"/>
      <c r="UG120" s="117"/>
      <c r="UH120" s="117"/>
      <c r="UI120" s="117"/>
      <c r="UJ120" s="117"/>
      <c r="UK120" s="117"/>
      <c r="UL120" s="117"/>
      <c r="UM120" s="117"/>
      <c r="UN120" s="117"/>
      <c r="UO120" s="117"/>
      <c r="UP120" s="117"/>
      <c r="UQ120" s="117"/>
      <c r="UR120" s="117"/>
      <c r="US120" s="117"/>
      <c r="UT120" s="117"/>
      <c r="UU120" s="117"/>
      <c r="UV120" s="117"/>
      <c r="UW120" s="117"/>
      <c r="UX120" s="117"/>
      <c r="UY120" s="117"/>
      <c r="UZ120" s="117"/>
      <c r="VA120" s="117"/>
      <c r="VB120" s="117"/>
      <c r="VC120" s="117"/>
      <c r="VD120" s="117"/>
      <c r="VE120" s="117"/>
      <c r="VF120" s="117"/>
      <c r="VG120" s="117"/>
      <c r="VH120" s="117"/>
      <c r="VI120" s="117"/>
      <c r="VJ120" s="117"/>
      <c r="VK120" s="117"/>
      <c r="VL120" s="117"/>
      <c r="VM120" s="117"/>
      <c r="VN120" s="117"/>
      <c r="VO120" s="117"/>
      <c r="VP120" s="117"/>
      <c r="VQ120" s="117"/>
      <c r="VR120" s="117"/>
      <c r="VS120" s="117"/>
      <c r="VT120" s="117"/>
      <c r="VU120" s="117"/>
      <c r="VV120" s="117"/>
      <c r="VW120" s="117"/>
      <c r="VX120" s="117"/>
      <c r="VY120" s="117"/>
      <c r="VZ120" s="117"/>
      <c r="WA120" s="117"/>
      <c r="WB120" s="117"/>
      <c r="WC120" s="117"/>
      <c r="WD120" s="117"/>
      <c r="WE120" s="117"/>
      <c r="WF120" s="117"/>
      <c r="WG120" s="117"/>
      <c r="WH120" s="117"/>
      <c r="WI120" s="117"/>
      <c r="WJ120" s="117"/>
      <c r="WK120" s="117"/>
      <c r="WL120" s="117"/>
      <c r="WM120" s="117"/>
      <c r="WN120" s="117"/>
      <c r="WO120" s="117"/>
      <c r="WP120" s="117"/>
      <c r="WQ120" s="117"/>
      <c r="WR120" s="117"/>
      <c r="WS120" s="117"/>
      <c r="WT120" s="117"/>
      <c r="WU120" s="117"/>
      <c r="WV120" s="117"/>
      <c r="WW120" s="117"/>
      <c r="WX120" s="117"/>
      <c r="WY120" s="117"/>
      <c r="WZ120" s="117"/>
      <c r="XA120" s="117"/>
      <c r="XB120" s="117"/>
      <c r="XC120" s="117"/>
      <c r="XD120" s="117"/>
      <c r="XE120" s="117"/>
      <c r="XF120" s="117"/>
      <c r="XG120" s="117"/>
      <c r="XH120" s="117"/>
      <c r="XI120" s="117"/>
      <c r="XJ120" s="117"/>
      <c r="XK120" s="117"/>
      <c r="XL120" s="117"/>
      <c r="XM120" s="117"/>
      <c r="XN120" s="117"/>
      <c r="XO120" s="117"/>
      <c r="XP120" s="117"/>
      <c r="XQ120" s="117"/>
      <c r="XR120" s="117"/>
      <c r="XS120" s="117"/>
      <c r="XT120" s="117"/>
      <c r="XU120" s="117"/>
      <c r="XV120" s="117"/>
      <c r="XW120" s="117"/>
      <c r="XX120" s="117"/>
      <c r="XY120" s="117"/>
      <c r="XZ120" s="117"/>
      <c r="YA120" s="117"/>
      <c r="YB120" s="117"/>
      <c r="YC120" s="117"/>
      <c r="YD120" s="117"/>
      <c r="YE120" s="117"/>
      <c r="YF120" s="117"/>
      <c r="YG120" s="117"/>
      <c r="YH120" s="117"/>
      <c r="YI120" s="117"/>
      <c r="YJ120" s="117"/>
      <c r="YK120" s="117"/>
      <c r="YL120" s="117"/>
      <c r="YM120" s="117"/>
      <c r="YN120" s="117"/>
      <c r="YO120" s="117"/>
      <c r="YP120" s="117"/>
      <c r="YQ120" s="117"/>
      <c r="YR120" s="117"/>
      <c r="YS120" s="117"/>
      <c r="YT120" s="117"/>
      <c r="YU120" s="117"/>
      <c r="YV120" s="117"/>
      <c r="YW120" s="117"/>
      <c r="YX120" s="117"/>
      <c r="YY120" s="117"/>
      <c r="YZ120" s="117"/>
      <c r="ZA120" s="117"/>
      <c r="ZB120" s="117"/>
      <c r="ZC120" s="117"/>
      <c r="ZD120" s="117"/>
      <c r="ZE120" s="117"/>
      <c r="ZF120" s="117"/>
      <c r="ZG120" s="117"/>
      <c r="ZH120" s="117"/>
      <c r="ZI120" s="117"/>
      <c r="ZJ120" s="117"/>
      <c r="ZK120" s="117"/>
      <c r="ZL120" s="117"/>
      <c r="ZM120" s="117"/>
      <c r="ZN120" s="117"/>
      <c r="ZO120" s="117"/>
      <c r="ZP120" s="117"/>
      <c r="ZQ120" s="117"/>
      <c r="ZR120" s="117"/>
      <c r="ZS120" s="117"/>
      <c r="ZT120" s="117"/>
      <c r="ZU120" s="117"/>
      <c r="ZV120" s="117"/>
      <c r="ZW120" s="117"/>
      <c r="ZX120" s="117"/>
      <c r="ZY120" s="117"/>
      <c r="ZZ120" s="117"/>
      <c r="AAA120" s="117"/>
      <c r="AAB120" s="117"/>
      <c r="AAC120" s="117"/>
      <c r="AAD120" s="117"/>
      <c r="AAE120" s="117"/>
      <c r="AAF120" s="117"/>
      <c r="AAG120" s="117"/>
      <c r="AAH120" s="117"/>
      <c r="AAI120" s="117"/>
      <c r="AAJ120" s="117"/>
      <c r="AAK120" s="117"/>
      <c r="AAL120" s="117"/>
      <c r="AAM120" s="117"/>
      <c r="AAN120" s="117"/>
      <c r="AAO120" s="117"/>
      <c r="AAP120" s="117"/>
      <c r="AAQ120" s="117"/>
      <c r="AAR120" s="117"/>
      <c r="AAS120" s="117"/>
      <c r="AAT120" s="117"/>
      <c r="AAU120" s="117"/>
      <c r="AAV120" s="117"/>
      <c r="AAW120" s="117"/>
      <c r="AAX120" s="117"/>
      <c r="AAY120" s="117"/>
      <c r="AAZ120" s="117"/>
      <c r="ABA120" s="117"/>
      <c r="ABB120" s="117"/>
      <c r="ABC120" s="117"/>
      <c r="ABD120" s="117"/>
      <c r="ABE120" s="117"/>
      <c r="ABF120" s="117"/>
      <c r="ABG120" s="117"/>
      <c r="ABH120" s="117"/>
      <c r="ABI120" s="117"/>
      <c r="ABJ120" s="117"/>
      <c r="ABK120" s="117"/>
      <c r="ABL120" s="117"/>
      <c r="ABM120" s="117"/>
      <c r="ABN120" s="117"/>
      <c r="ABO120" s="117"/>
      <c r="ABP120" s="117"/>
      <c r="ABQ120" s="117"/>
      <c r="ABR120" s="117"/>
      <c r="ABS120" s="117"/>
      <c r="ABT120" s="117"/>
      <c r="ABU120" s="117"/>
      <c r="ABV120" s="117"/>
      <c r="ABW120" s="117"/>
      <c r="ABX120" s="117"/>
      <c r="ABY120" s="117"/>
      <c r="ABZ120" s="117"/>
      <c r="ACA120" s="117"/>
      <c r="ACB120" s="117"/>
      <c r="ACC120" s="117"/>
      <c r="ACD120" s="117"/>
      <c r="ACE120" s="117"/>
      <c r="ACF120" s="117"/>
      <c r="ACG120" s="117"/>
      <c r="ACH120" s="117"/>
      <c r="ACI120" s="117"/>
      <c r="ACJ120" s="117"/>
      <c r="ACK120" s="117"/>
      <c r="ACL120" s="117"/>
      <c r="ACM120" s="117"/>
      <c r="ACN120" s="117"/>
      <c r="ACO120" s="117"/>
      <c r="ACP120" s="117"/>
      <c r="ACQ120" s="117"/>
      <c r="ACR120" s="117"/>
      <c r="ACS120" s="117"/>
      <c r="ACT120" s="117"/>
      <c r="ACU120" s="117"/>
      <c r="ACV120" s="117"/>
      <c r="ACW120" s="117"/>
      <c r="ACX120" s="117"/>
      <c r="ACY120" s="117"/>
      <c r="ACZ120" s="117"/>
      <c r="ADA120" s="117"/>
      <c r="ADB120" s="117"/>
      <c r="ADC120" s="117"/>
      <c r="ADD120" s="117"/>
      <c r="ADE120" s="117"/>
      <c r="ADF120" s="117"/>
      <c r="ADG120" s="117"/>
      <c r="ADH120" s="117"/>
      <c r="ADI120" s="117"/>
      <c r="ADJ120" s="117"/>
      <c r="ADK120" s="117"/>
      <c r="ADL120" s="117"/>
      <c r="ADM120" s="117"/>
      <c r="ADN120" s="117"/>
      <c r="ADO120" s="117"/>
      <c r="ADP120" s="117"/>
      <c r="ADQ120" s="117"/>
      <c r="ADR120" s="117"/>
      <c r="ADS120" s="117"/>
      <c r="ADT120" s="117"/>
      <c r="ADU120" s="117"/>
      <c r="ADV120" s="117"/>
      <c r="ADW120" s="117"/>
      <c r="ADX120" s="117"/>
      <c r="ADY120" s="117"/>
      <c r="ADZ120" s="117"/>
      <c r="AEA120" s="117"/>
      <c r="AEB120" s="117"/>
      <c r="AEC120" s="117"/>
      <c r="AED120" s="117"/>
      <c r="AEE120" s="117"/>
      <c r="AEF120" s="117"/>
      <c r="AEG120" s="117"/>
      <c r="AEH120" s="117"/>
      <c r="AEI120" s="117"/>
      <c r="AEJ120" s="117"/>
      <c r="AEK120" s="117"/>
      <c r="AEL120" s="117"/>
      <c r="AEM120" s="117"/>
      <c r="AEN120" s="117"/>
      <c r="AEO120" s="117"/>
      <c r="AEP120" s="117"/>
      <c r="AEQ120" s="117"/>
      <c r="AER120" s="117"/>
      <c r="AES120" s="117"/>
      <c r="AET120" s="117"/>
      <c r="AEU120" s="117"/>
      <c r="AEV120" s="117"/>
      <c r="AEW120" s="117"/>
      <c r="AEX120" s="117"/>
      <c r="AEY120" s="117"/>
      <c r="AEZ120" s="117"/>
      <c r="AFA120" s="117"/>
      <c r="AFB120" s="117"/>
      <c r="AFC120" s="117"/>
      <c r="AFD120" s="117"/>
      <c r="AFE120" s="117"/>
      <c r="AFF120" s="117"/>
      <c r="AFG120" s="117"/>
      <c r="AFH120" s="117"/>
      <c r="AFI120" s="117"/>
      <c r="AFJ120" s="117"/>
      <c r="AFK120" s="117"/>
      <c r="AFL120" s="117"/>
      <c r="AFM120" s="117"/>
      <c r="AFN120" s="117"/>
      <c r="AFO120" s="117"/>
      <c r="AFP120" s="117"/>
      <c r="AFQ120" s="117"/>
      <c r="AFR120" s="117"/>
      <c r="AFS120" s="117"/>
      <c r="AFT120" s="117"/>
      <c r="AFU120" s="117"/>
      <c r="AFV120" s="117"/>
      <c r="AFW120" s="117"/>
      <c r="AFX120" s="117"/>
      <c r="AFY120" s="117"/>
      <c r="AFZ120" s="117"/>
      <c r="AGA120" s="117"/>
      <c r="AGB120" s="117"/>
      <c r="AGC120" s="117"/>
      <c r="AGD120" s="117"/>
      <c r="AGE120" s="117"/>
      <c r="AGF120" s="117"/>
      <c r="AGG120" s="117"/>
      <c r="AGH120" s="117"/>
      <c r="AGI120" s="117"/>
      <c r="AGJ120" s="117"/>
      <c r="AGK120" s="117"/>
      <c r="AGL120" s="117"/>
      <c r="AGM120" s="117"/>
      <c r="AGN120" s="117"/>
      <c r="AGO120" s="117"/>
      <c r="AGP120" s="117"/>
      <c r="AGQ120" s="117"/>
      <c r="AGR120" s="117"/>
      <c r="AGS120" s="117"/>
      <c r="AGT120" s="117"/>
      <c r="AGU120" s="117"/>
      <c r="AGV120" s="117"/>
      <c r="AGW120" s="117"/>
      <c r="AGX120" s="117"/>
      <c r="AGY120" s="117"/>
      <c r="AGZ120" s="117"/>
      <c r="AHA120" s="117"/>
      <c r="AHB120" s="117"/>
      <c r="AHC120" s="117"/>
      <c r="AHD120" s="117"/>
      <c r="AHE120" s="117"/>
      <c r="AHF120" s="117"/>
      <c r="AHG120" s="117"/>
      <c r="AHH120" s="117"/>
      <c r="AHI120" s="117"/>
      <c r="AHJ120" s="117"/>
      <c r="AHK120" s="117"/>
      <c r="AHL120" s="117"/>
      <c r="AHM120" s="117"/>
      <c r="AHN120" s="117"/>
      <c r="AHO120" s="117"/>
      <c r="AHP120" s="117"/>
      <c r="AHQ120" s="117"/>
      <c r="AHR120" s="117"/>
      <c r="AHS120" s="117"/>
      <c r="AHT120" s="117"/>
      <c r="AHU120" s="117"/>
      <c r="AHV120" s="117"/>
      <c r="AHW120" s="117"/>
      <c r="AHX120" s="117"/>
      <c r="AHY120" s="117"/>
      <c r="AHZ120" s="117"/>
      <c r="AIA120" s="117"/>
      <c r="AIB120" s="117"/>
      <c r="AIC120" s="117"/>
      <c r="AID120" s="117"/>
      <c r="AIE120" s="117"/>
      <c r="AIF120" s="117"/>
      <c r="AIG120" s="117"/>
      <c r="AIH120" s="117"/>
      <c r="AII120" s="117"/>
      <c r="AIJ120" s="117"/>
      <c r="AIK120" s="117"/>
      <c r="AIL120" s="117"/>
      <c r="AIM120" s="117"/>
      <c r="AIN120" s="117"/>
      <c r="AIO120" s="117"/>
      <c r="AIP120" s="117"/>
      <c r="AIQ120" s="117"/>
      <c r="AIR120" s="117"/>
      <c r="AIS120" s="117"/>
      <c r="AIT120" s="117"/>
      <c r="AIU120" s="117"/>
      <c r="AIV120" s="117"/>
      <c r="AIW120" s="117"/>
      <c r="AIX120" s="117"/>
      <c r="AIY120" s="117"/>
      <c r="AIZ120" s="117"/>
      <c r="AJA120" s="117"/>
      <c r="AJB120" s="117"/>
      <c r="AJC120" s="117"/>
      <c r="AJD120" s="117"/>
      <c r="AJE120" s="117"/>
      <c r="AJF120" s="117"/>
      <c r="AJG120" s="117"/>
      <c r="AJH120" s="117"/>
      <c r="AJI120" s="117"/>
      <c r="AJJ120" s="117"/>
      <c r="AJK120" s="117"/>
      <c r="AJL120" s="117"/>
      <c r="AJM120" s="117"/>
      <c r="AJN120" s="117"/>
      <c r="AJO120" s="117"/>
      <c r="AJP120" s="117"/>
      <c r="AJQ120" s="117"/>
      <c r="AJR120" s="117"/>
      <c r="AJS120" s="117"/>
      <c r="AJT120" s="117"/>
      <c r="AJU120" s="117"/>
      <c r="AJV120" s="117"/>
      <c r="AJW120" s="117"/>
      <c r="AJX120" s="117"/>
      <c r="AJY120" s="117"/>
      <c r="AJZ120" s="117"/>
      <c r="AKA120" s="117"/>
      <c r="AKB120" s="117"/>
      <c r="AKC120" s="117"/>
      <c r="AKD120" s="117"/>
      <c r="AKE120" s="117"/>
      <c r="AKF120" s="117"/>
      <c r="AKG120" s="117"/>
      <c r="AKH120" s="117"/>
      <c r="AKI120" s="117"/>
      <c r="AKJ120" s="117"/>
      <c r="AKK120" s="117"/>
      <c r="AKL120" s="117"/>
      <c r="AKM120" s="117"/>
      <c r="AKN120" s="117"/>
      <c r="AKO120" s="117"/>
      <c r="AKP120" s="117"/>
      <c r="AKQ120" s="117"/>
      <c r="AKR120" s="117"/>
      <c r="AKS120" s="117"/>
      <c r="AKT120" s="117"/>
      <c r="AKU120" s="117"/>
      <c r="AKV120" s="117"/>
      <c r="AKW120" s="117"/>
      <c r="AKX120" s="117"/>
      <c r="AKY120" s="117"/>
      <c r="AKZ120" s="117"/>
      <c r="ALA120" s="117"/>
      <c r="ALB120" s="117"/>
      <c r="ALC120" s="117"/>
      <c r="ALD120" s="117"/>
      <c r="ALE120" s="117"/>
      <c r="ALF120" s="117"/>
      <c r="ALG120" s="117"/>
      <c r="ALH120" s="117"/>
      <c r="ALI120" s="117"/>
      <c r="ALJ120" s="117"/>
      <c r="ALK120" s="117"/>
      <c r="ALL120" s="117"/>
      <c r="ALM120" s="117"/>
      <c r="ALN120" s="117"/>
      <c r="ALO120" s="117"/>
      <c r="ALP120" s="117"/>
      <c r="ALQ120" s="117"/>
      <c r="ALR120" s="117"/>
      <c r="ALS120" s="117"/>
      <c r="ALT120" s="117"/>
      <c r="ALU120" s="117"/>
      <c r="ALV120" s="117"/>
      <c r="ALW120" s="117"/>
      <c r="ALX120" s="117"/>
      <c r="ALY120" s="117"/>
      <c r="ALZ120" s="117"/>
      <c r="AMA120" s="117"/>
      <c r="AMB120" s="117"/>
      <c r="AMC120" s="117"/>
      <c r="AMD120" s="117"/>
      <c r="AME120" s="117"/>
      <c r="AMF120" s="117"/>
      <c r="AMG120" s="117"/>
      <c r="AMH120" s="117"/>
      <c r="AMI120" s="117"/>
      <c r="AMJ120" s="117"/>
      <c r="AMK120" s="117"/>
      <c r="AML120" s="117"/>
      <c r="AMM120" s="117"/>
      <c r="AMN120" s="117"/>
      <c r="AMO120" s="117"/>
      <c r="AMP120" s="117"/>
      <c r="AMQ120" s="117"/>
      <c r="AMR120" s="117"/>
      <c r="AMS120" s="117"/>
      <c r="AMT120" s="117"/>
      <c r="AMU120" s="117"/>
      <c r="AMV120" s="117"/>
      <c r="AMW120" s="117"/>
      <c r="AMX120" s="117"/>
      <c r="AMY120" s="117"/>
      <c r="AMZ120" s="117"/>
      <c r="ANA120" s="117"/>
      <c r="ANB120" s="117"/>
      <c r="ANC120" s="117"/>
      <c r="AND120" s="117"/>
      <c r="ANE120" s="117"/>
      <c r="ANF120" s="117"/>
      <c r="ANG120" s="117"/>
      <c r="ANH120" s="117"/>
      <c r="ANI120" s="117"/>
      <c r="ANJ120" s="117"/>
      <c r="ANK120" s="117"/>
      <c r="ANL120" s="117"/>
      <c r="ANM120" s="117"/>
      <c r="ANN120" s="117"/>
      <c r="ANO120" s="117"/>
      <c r="ANP120" s="117"/>
      <c r="ANQ120" s="117"/>
      <c r="ANR120" s="117"/>
      <c r="ANS120" s="117"/>
      <c r="ANT120" s="117"/>
      <c r="ANU120" s="117"/>
      <c r="ANV120" s="117"/>
      <c r="ANW120" s="117"/>
      <c r="ANX120" s="117"/>
      <c r="ANY120" s="117"/>
      <c r="ANZ120" s="117"/>
      <c r="AOA120" s="117"/>
      <c r="AOB120" s="117"/>
      <c r="AOC120" s="117"/>
      <c r="AOD120" s="117"/>
      <c r="AOE120" s="117"/>
      <c r="AOF120" s="117"/>
      <c r="AOG120" s="117"/>
      <c r="AOH120" s="117"/>
      <c r="AOI120" s="117"/>
      <c r="AOJ120" s="117"/>
      <c r="AOK120" s="117"/>
      <c r="AOL120" s="117"/>
      <c r="AOM120" s="117"/>
      <c r="AON120" s="117"/>
      <c r="AOO120" s="117"/>
      <c r="AOP120" s="117"/>
      <c r="AOQ120" s="117"/>
      <c r="AOR120" s="117"/>
      <c r="AOS120" s="117"/>
      <c r="AOT120" s="117"/>
      <c r="AOU120" s="117"/>
      <c r="AOV120" s="117"/>
      <c r="AOW120" s="117"/>
      <c r="AOX120" s="117"/>
      <c r="AOY120" s="117"/>
      <c r="AOZ120" s="117"/>
      <c r="APA120" s="117"/>
      <c r="APB120" s="117"/>
      <c r="APC120" s="117"/>
      <c r="APD120" s="117"/>
      <c r="APE120" s="117"/>
      <c r="APF120" s="117"/>
      <c r="APG120" s="117"/>
      <c r="APH120" s="117"/>
      <c r="API120" s="117"/>
      <c r="APJ120" s="117"/>
      <c r="APK120" s="117"/>
      <c r="APL120" s="117"/>
      <c r="APM120" s="117"/>
      <c r="APN120" s="117"/>
      <c r="APO120" s="117"/>
      <c r="APP120" s="117"/>
      <c r="APQ120" s="117"/>
      <c r="APR120" s="117"/>
      <c r="APS120" s="117"/>
      <c r="APT120" s="117"/>
      <c r="APU120" s="117"/>
      <c r="APV120" s="117"/>
      <c r="APW120" s="117"/>
      <c r="APX120" s="117"/>
      <c r="APY120" s="117"/>
      <c r="APZ120" s="117"/>
      <c r="AQA120" s="117"/>
      <c r="AQB120" s="117"/>
      <c r="AQC120" s="117"/>
      <c r="AQD120" s="117"/>
      <c r="AQE120" s="117"/>
      <c r="AQF120" s="117"/>
      <c r="AQG120" s="117"/>
      <c r="AQH120" s="117"/>
      <c r="AQI120" s="117"/>
      <c r="AQJ120" s="117"/>
      <c r="AQK120" s="117"/>
      <c r="AQL120" s="117"/>
      <c r="AQM120" s="117"/>
      <c r="AQN120" s="117"/>
      <c r="AQO120" s="117"/>
      <c r="AQP120" s="117"/>
      <c r="AQQ120" s="117"/>
      <c r="AQR120" s="117"/>
      <c r="AQS120" s="117"/>
      <c r="AQT120" s="117"/>
      <c r="AQU120" s="117"/>
      <c r="AQV120" s="117"/>
      <c r="AQW120" s="117"/>
      <c r="AQX120" s="117"/>
      <c r="AQY120" s="117"/>
      <c r="AQZ120" s="117"/>
      <c r="ARA120" s="117"/>
      <c r="ARB120" s="117"/>
      <c r="ARC120" s="117"/>
      <c r="ARD120" s="117"/>
      <c r="ARE120" s="117"/>
      <c r="ARF120" s="117"/>
      <c r="ARG120" s="117"/>
      <c r="ARH120" s="117"/>
      <c r="ARI120" s="117"/>
      <c r="ARJ120" s="117"/>
      <c r="ARK120" s="117"/>
      <c r="ARL120" s="117"/>
      <c r="ARM120" s="117"/>
      <c r="ARN120" s="117"/>
      <c r="ARO120" s="117"/>
      <c r="ARP120" s="117"/>
      <c r="ARQ120" s="117"/>
      <c r="ARR120" s="117"/>
      <c r="ARS120" s="117"/>
      <c r="ART120" s="117"/>
      <c r="ARU120" s="117"/>
      <c r="ARV120" s="117"/>
      <c r="ARW120" s="117"/>
      <c r="ARX120" s="117"/>
      <c r="ARY120" s="117"/>
      <c r="ARZ120" s="117"/>
      <c r="ASA120" s="117"/>
      <c r="ASB120" s="117"/>
      <c r="ASC120" s="117"/>
      <c r="ASD120" s="117"/>
      <c r="ASE120" s="117"/>
      <c r="ASF120" s="117"/>
      <c r="ASG120" s="117"/>
      <c r="ASH120" s="117"/>
      <c r="ASI120" s="117"/>
      <c r="ASJ120" s="117"/>
      <c r="ASK120" s="117"/>
      <c r="ASL120" s="117"/>
      <c r="ASM120" s="117"/>
      <c r="ASN120" s="117"/>
      <c r="ASO120" s="117"/>
      <c r="ASP120" s="117"/>
      <c r="ASQ120" s="117"/>
      <c r="ASR120" s="117"/>
      <c r="ASS120" s="117"/>
      <c r="AST120" s="117"/>
      <c r="ASU120" s="117"/>
      <c r="ASV120" s="117"/>
      <c r="ASW120" s="117"/>
      <c r="ASX120" s="117"/>
      <c r="ASY120" s="117"/>
      <c r="ASZ120" s="117"/>
      <c r="ATA120" s="117"/>
      <c r="ATB120" s="117"/>
      <c r="ATC120" s="117"/>
      <c r="ATD120" s="117"/>
      <c r="ATE120" s="117"/>
      <c r="ATF120" s="117"/>
      <c r="ATG120" s="117"/>
      <c r="ATH120" s="117"/>
      <c r="ATI120" s="117"/>
      <c r="ATJ120" s="117"/>
      <c r="ATK120" s="117"/>
      <c r="ATL120" s="117"/>
      <c r="ATM120" s="117"/>
      <c r="ATN120" s="117"/>
      <c r="ATO120" s="117"/>
      <c r="ATP120" s="117"/>
      <c r="ATQ120" s="117"/>
      <c r="ATR120" s="117"/>
      <c r="ATS120" s="117"/>
      <c r="ATT120" s="117"/>
      <c r="ATU120" s="117"/>
      <c r="ATV120" s="117"/>
      <c r="ATW120" s="117"/>
      <c r="ATX120" s="117"/>
      <c r="ATY120" s="117"/>
      <c r="ATZ120" s="117"/>
      <c r="AUA120" s="117"/>
      <c r="AUB120" s="117"/>
      <c r="AUC120" s="117"/>
      <c r="AUD120" s="117"/>
      <c r="AUE120" s="117"/>
      <c r="AUF120" s="117"/>
      <c r="AUG120" s="117"/>
      <c r="AUH120" s="117"/>
      <c r="AUI120" s="117"/>
      <c r="AUJ120" s="117"/>
      <c r="AUK120" s="117"/>
      <c r="AUL120" s="117"/>
      <c r="AUM120" s="117"/>
      <c r="AUN120" s="117"/>
      <c r="AUO120" s="117"/>
      <c r="AUP120" s="117"/>
      <c r="AUQ120" s="117"/>
      <c r="AUR120" s="117"/>
      <c r="AUS120" s="117"/>
      <c r="AUT120" s="117"/>
      <c r="AUU120" s="117"/>
      <c r="AUV120" s="117"/>
      <c r="AUW120" s="117"/>
      <c r="AUX120" s="117"/>
      <c r="AUY120" s="117"/>
      <c r="AUZ120" s="117"/>
      <c r="AVA120" s="117"/>
      <c r="AVB120" s="117"/>
      <c r="AVC120" s="117"/>
      <c r="AVD120" s="117"/>
      <c r="AVE120" s="117"/>
      <c r="AVF120" s="117"/>
      <c r="AVG120" s="117"/>
      <c r="AVH120" s="117"/>
      <c r="AVI120" s="117"/>
      <c r="AVJ120" s="117"/>
      <c r="AVK120" s="117"/>
      <c r="AVL120" s="117"/>
      <c r="AVM120" s="117"/>
      <c r="AVN120" s="117"/>
      <c r="AVO120" s="117"/>
      <c r="AVP120" s="117"/>
      <c r="AVQ120" s="117"/>
      <c r="AVR120" s="117"/>
      <c r="AVS120" s="117"/>
      <c r="AVT120" s="117"/>
      <c r="AVU120" s="117"/>
    </row>
    <row r="121" spans="2:1269" ht="13.5" customHeight="1" x14ac:dyDescent="0.2">
      <c r="B121" s="117"/>
      <c r="C121" s="117"/>
      <c r="D121" s="117"/>
      <c r="E121" s="117"/>
      <c r="F121" s="117"/>
      <c r="G121" s="117"/>
      <c r="H121" s="117"/>
      <c r="I121" s="117"/>
      <c r="J121" s="117"/>
      <c r="K121" s="117"/>
      <c r="L121" s="117"/>
      <c r="M121" s="117"/>
      <c r="N121" s="117"/>
      <c r="O121" s="117"/>
      <c r="P121" s="117"/>
      <c r="Q121" s="117"/>
      <c r="R121" s="117"/>
      <c r="S121" s="117"/>
      <c r="T121" s="117"/>
      <c r="U121" s="117"/>
      <c r="V121" s="117"/>
      <c r="W121" s="117"/>
      <c r="X121" s="117"/>
      <c r="Y121" s="117"/>
      <c r="Z121" s="117"/>
      <c r="AA121" s="117"/>
      <c r="AB121" s="117"/>
      <c r="AC121" s="117"/>
      <c r="AD121" s="117"/>
      <c r="AE121" s="117"/>
      <c r="AF121" s="117"/>
      <c r="AG121" s="117"/>
      <c r="AH121" s="117"/>
      <c r="AI121" s="117"/>
      <c r="AJ121" s="117"/>
      <c r="AK121" s="117"/>
      <c r="AL121" s="117"/>
      <c r="AM121" s="117"/>
      <c r="AN121" s="117"/>
      <c r="AO121" s="117"/>
      <c r="AP121" s="117"/>
      <c r="AQ121" s="117"/>
      <c r="AR121" s="117"/>
      <c r="AS121" s="117"/>
      <c r="AT121" s="117"/>
      <c r="AU121" s="117"/>
      <c r="AV121" s="117"/>
      <c r="AW121" s="117"/>
      <c r="AX121" s="117"/>
      <c r="AY121" s="117"/>
      <c r="AZ121" s="117"/>
      <c r="BA121" s="117"/>
      <c r="BB121" s="117"/>
      <c r="BC121" s="117"/>
      <c r="BD121" s="117"/>
      <c r="BE121" s="117"/>
      <c r="BF121" s="117"/>
      <c r="BG121" s="117"/>
      <c r="BH121" s="117"/>
      <c r="BI121" s="117"/>
      <c r="BJ121" s="117"/>
      <c r="BK121" s="117"/>
      <c r="BL121" s="117"/>
      <c r="BM121" s="117"/>
      <c r="BN121" s="117"/>
      <c r="BO121" s="117"/>
      <c r="BP121" s="117"/>
      <c r="BQ121" s="117"/>
      <c r="BR121" s="117"/>
      <c r="BS121" s="117"/>
      <c r="BT121" s="117"/>
      <c r="BU121" s="117"/>
      <c r="BV121" s="117"/>
      <c r="BW121" s="117"/>
      <c r="BX121" s="117"/>
      <c r="BY121" s="117"/>
      <c r="BZ121" s="117"/>
      <c r="CA121" s="117"/>
      <c r="CB121" s="117"/>
      <c r="CC121" s="117"/>
      <c r="CD121" s="117"/>
      <c r="CE121" s="117"/>
      <c r="CF121" s="117"/>
      <c r="CG121" s="117"/>
      <c r="CH121" s="117"/>
      <c r="CI121" s="117"/>
      <c r="CJ121" s="117"/>
      <c r="CK121" s="117"/>
      <c r="CL121" s="117"/>
      <c r="CM121" s="117"/>
      <c r="CN121" s="117"/>
      <c r="CO121" s="117"/>
      <c r="CP121" s="117"/>
      <c r="CQ121" s="117"/>
      <c r="CR121" s="117"/>
      <c r="CS121" s="117"/>
      <c r="CT121" s="117"/>
      <c r="CU121" s="117"/>
      <c r="CV121" s="117"/>
      <c r="CW121" s="117"/>
      <c r="CX121" s="117"/>
      <c r="CY121" s="117"/>
      <c r="CZ121" s="117"/>
      <c r="DA121" s="117"/>
      <c r="DB121" s="117"/>
      <c r="DC121" s="117"/>
      <c r="DD121" s="117"/>
      <c r="DE121" s="117"/>
      <c r="DF121" s="117"/>
      <c r="DG121" s="117"/>
      <c r="DH121" s="117"/>
      <c r="DI121" s="117"/>
      <c r="DJ121" s="117"/>
      <c r="DK121" s="117"/>
      <c r="DL121" s="117"/>
      <c r="DM121" s="117"/>
      <c r="DN121" s="117"/>
      <c r="DO121" s="117"/>
      <c r="DP121" s="117"/>
      <c r="DQ121" s="117"/>
      <c r="DR121" s="117"/>
      <c r="DS121" s="117"/>
      <c r="DT121" s="117"/>
      <c r="DU121" s="208"/>
      <c r="DV121" s="208"/>
      <c r="DW121" s="208"/>
      <c r="DX121" s="208"/>
      <c r="DY121" s="208"/>
      <c r="DZ121" s="208"/>
      <c r="EA121" s="208"/>
      <c r="EB121" s="117"/>
      <c r="EC121" s="117"/>
      <c r="ED121" s="117"/>
      <c r="EE121" s="117"/>
      <c r="EF121" s="117"/>
      <c r="EG121" s="117"/>
      <c r="EH121" s="117"/>
      <c r="EI121" s="117"/>
      <c r="EJ121" s="117"/>
      <c r="EK121" s="117"/>
      <c r="EL121" s="117"/>
      <c r="EM121" s="117"/>
      <c r="EN121" s="117"/>
      <c r="EO121" s="117"/>
      <c r="EP121" s="117"/>
      <c r="EQ121" s="117"/>
      <c r="ER121" s="117"/>
      <c r="ES121" s="117"/>
      <c r="ET121" s="117"/>
      <c r="EU121" s="117"/>
      <c r="EV121" s="117"/>
      <c r="EW121" s="117"/>
      <c r="EX121" s="117"/>
      <c r="EY121" s="117"/>
      <c r="EZ121" s="117"/>
      <c r="FA121" s="117"/>
      <c r="FB121" s="117"/>
      <c r="FC121" s="117"/>
      <c r="FD121" s="117"/>
      <c r="FE121" s="117"/>
      <c r="FF121" s="117"/>
      <c r="FG121" s="117"/>
      <c r="FH121" s="117"/>
      <c r="FI121" s="117"/>
      <c r="FJ121" s="117"/>
      <c r="FK121" s="117"/>
      <c r="FL121" s="117"/>
      <c r="FM121" s="117"/>
      <c r="FN121" s="117"/>
      <c r="FO121" s="117"/>
      <c r="FP121" s="117"/>
      <c r="FQ121" s="117"/>
      <c r="FR121" s="117"/>
      <c r="FS121" s="117"/>
      <c r="FT121" s="117"/>
      <c r="FU121" s="117"/>
      <c r="FV121" s="117"/>
      <c r="FW121" s="117"/>
      <c r="FX121" s="117"/>
      <c r="FY121" s="117"/>
      <c r="FZ121" s="117"/>
      <c r="GA121" s="117"/>
      <c r="GB121" s="117"/>
      <c r="GC121" s="117"/>
      <c r="GD121" s="117"/>
      <c r="GE121" s="117"/>
      <c r="GF121" s="117"/>
      <c r="GG121" s="117"/>
      <c r="GH121" s="117"/>
      <c r="GI121" s="117"/>
      <c r="GJ121" s="117"/>
      <c r="GK121" s="117"/>
      <c r="GL121" s="117"/>
      <c r="GM121" s="117"/>
      <c r="GN121" s="117"/>
      <c r="GO121" s="117"/>
      <c r="GP121" s="117"/>
      <c r="GQ121" s="117"/>
      <c r="GR121" s="117"/>
      <c r="GS121" s="117"/>
      <c r="GT121" s="117"/>
      <c r="GU121" s="117"/>
      <c r="GV121" s="117"/>
      <c r="GW121" s="117"/>
      <c r="GX121" s="117"/>
      <c r="GY121" s="117"/>
      <c r="GZ121" s="117"/>
      <c r="HA121" s="117"/>
      <c r="HB121" s="117"/>
      <c r="HC121" s="117"/>
      <c r="HD121" s="117"/>
      <c r="HE121" s="117"/>
      <c r="HF121" s="117"/>
      <c r="HG121" s="117"/>
      <c r="HH121" s="117"/>
      <c r="HI121" s="117"/>
      <c r="HJ121" s="117"/>
      <c r="HK121" s="117"/>
      <c r="HL121" s="117"/>
      <c r="HM121" s="117"/>
      <c r="HN121" s="117"/>
      <c r="HO121" s="117"/>
      <c r="HP121" s="117"/>
      <c r="HQ121" s="117"/>
      <c r="HR121" s="117"/>
      <c r="HS121" s="117"/>
      <c r="HT121" s="117"/>
      <c r="HU121" s="117"/>
      <c r="HV121" s="117"/>
      <c r="HW121" s="117"/>
      <c r="HX121" s="117"/>
      <c r="HY121" s="117"/>
      <c r="HZ121" s="117"/>
      <c r="IA121" s="117"/>
      <c r="IB121" s="117"/>
      <c r="IC121" s="117"/>
      <c r="ID121" s="117"/>
      <c r="IE121" s="117"/>
      <c r="IF121" s="117"/>
      <c r="IG121" s="117"/>
      <c r="IH121" s="117"/>
      <c r="II121" s="117"/>
      <c r="IJ121" s="117"/>
      <c r="IK121" s="117"/>
      <c r="IL121" s="117"/>
      <c r="IM121" s="117"/>
      <c r="IN121" s="117"/>
      <c r="IO121" s="117"/>
      <c r="IP121" s="117"/>
      <c r="IQ121" s="117"/>
      <c r="IR121" s="117"/>
      <c r="IS121" s="117"/>
      <c r="IT121" s="117"/>
      <c r="IU121" s="117"/>
      <c r="IV121" s="117"/>
      <c r="IW121" s="117"/>
      <c r="IX121" s="117"/>
      <c r="IY121" s="117"/>
      <c r="IZ121" s="117"/>
      <c r="JA121" s="117"/>
      <c r="JB121" s="117"/>
      <c r="JC121" s="117"/>
      <c r="JD121" s="117"/>
      <c r="JE121" s="117"/>
      <c r="JF121" s="117"/>
      <c r="JG121" s="117"/>
      <c r="JH121" s="117"/>
      <c r="JI121" s="117"/>
      <c r="JJ121" s="117"/>
      <c r="JK121" s="117"/>
      <c r="JL121" s="117"/>
      <c r="JM121" s="117"/>
      <c r="JN121" s="117"/>
      <c r="JO121" s="117"/>
      <c r="JP121" s="117"/>
      <c r="JQ121" s="117"/>
      <c r="JR121" s="117"/>
      <c r="JS121" s="117"/>
      <c r="JT121" s="117"/>
      <c r="JU121" s="117"/>
      <c r="JV121" s="117"/>
      <c r="JW121" s="117"/>
      <c r="JX121" s="117"/>
      <c r="JY121" s="117"/>
      <c r="JZ121" s="117"/>
      <c r="KA121" s="117"/>
      <c r="KB121" s="117"/>
      <c r="KC121" s="117"/>
      <c r="KD121" s="117"/>
      <c r="KE121" s="117"/>
      <c r="KF121" s="117"/>
      <c r="KG121" s="117"/>
      <c r="KH121" s="117"/>
      <c r="KI121" s="117"/>
      <c r="KJ121" s="117"/>
      <c r="KK121" s="117"/>
      <c r="KL121" s="117"/>
      <c r="KM121" s="117"/>
      <c r="KN121" s="117"/>
      <c r="KO121" s="117"/>
      <c r="KP121" s="117"/>
      <c r="KQ121" s="117"/>
      <c r="KR121" s="117"/>
      <c r="KS121" s="117"/>
      <c r="KT121" s="117"/>
      <c r="KU121" s="117"/>
      <c r="KV121" s="117"/>
      <c r="KW121" s="117"/>
      <c r="KX121" s="117"/>
      <c r="KY121" s="117"/>
      <c r="KZ121" s="117"/>
      <c r="LA121" s="117"/>
      <c r="LB121" s="117"/>
      <c r="LC121" s="117"/>
      <c r="LD121" s="117"/>
      <c r="LE121" s="117"/>
      <c r="LF121" s="117"/>
      <c r="LG121" s="117"/>
      <c r="LH121" s="117"/>
      <c r="LI121" s="117"/>
      <c r="LJ121" s="117"/>
      <c r="LK121" s="117"/>
      <c r="LL121" s="117"/>
      <c r="LM121" s="117"/>
      <c r="LN121" s="117"/>
      <c r="LO121" s="117"/>
      <c r="LP121" s="117"/>
      <c r="LQ121" s="117"/>
      <c r="LR121" s="117"/>
      <c r="LS121" s="117"/>
      <c r="LT121" s="117"/>
      <c r="LU121" s="117"/>
      <c r="LV121" s="117"/>
      <c r="LW121" s="117"/>
      <c r="LX121" s="117"/>
      <c r="LY121" s="117"/>
      <c r="LZ121" s="117"/>
      <c r="MA121" s="117"/>
      <c r="MB121" s="117"/>
      <c r="MC121" s="117"/>
      <c r="MD121" s="117"/>
      <c r="ME121" s="117"/>
      <c r="MF121" s="117"/>
      <c r="MG121" s="117"/>
      <c r="MH121" s="117"/>
      <c r="MI121" s="117"/>
      <c r="MJ121" s="117"/>
      <c r="MK121" s="117"/>
      <c r="ML121" s="117"/>
      <c r="MM121" s="117"/>
      <c r="MN121" s="117"/>
      <c r="MO121" s="117"/>
      <c r="MP121" s="117"/>
      <c r="MQ121" s="117"/>
      <c r="MR121" s="117"/>
      <c r="MS121" s="117"/>
      <c r="MT121" s="117"/>
      <c r="MU121" s="117"/>
      <c r="MV121" s="117"/>
      <c r="MW121" s="117"/>
      <c r="MX121" s="117"/>
      <c r="MY121" s="117"/>
      <c r="MZ121" s="117"/>
      <c r="NA121" s="117"/>
      <c r="NB121" s="117"/>
      <c r="NC121" s="117"/>
      <c r="ND121" s="117"/>
      <c r="NE121" s="117"/>
      <c r="NF121" s="117"/>
      <c r="NG121" s="117"/>
      <c r="NH121" s="117"/>
      <c r="NI121" s="117"/>
      <c r="NJ121" s="117"/>
      <c r="NK121" s="117"/>
      <c r="NL121" s="117"/>
      <c r="NM121" s="117"/>
      <c r="NN121" s="117"/>
      <c r="NO121" s="117"/>
      <c r="NP121" s="117"/>
      <c r="NQ121" s="117"/>
      <c r="NR121" s="117"/>
      <c r="NS121" s="117"/>
      <c r="NT121" s="117"/>
      <c r="NU121" s="117"/>
      <c r="NV121" s="117"/>
      <c r="NW121" s="117"/>
      <c r="NX121" s="117"/>
      <c r="NY121" s="117"/>
      <c r="NZ121" s="117"/>
      <c r="OA121" s="117"/>
      <c r="OB121" s="117"/>
      <c r="OC121" s="117"/>
      <c r="OD121" s="117"/>
      <c r="OE121" s="117"/>
      <c r="OF121" s="117"/>
      <c r="OG121" s="117"/>
      <c r="OH121" s="117"/>
      <c r="OI121" s="117"/>
      <c r="OJ121" s="117"/>
      <c r="OK121" s="117"/>
      <c r="OL121" s="117"/>
      <c r="OM121" s="117"/>
      <c r="ON121" s="117"/>
      <c r="OO121" s="117"/>
      <c r="OP121" s="117"/>
      <c r="OQ121" s="117"/>
      <c r="OR121" s="117"/>
      <c r="OS121" s="117"/>
      <c r="OT121" s="117"/>
      <c r="OU121" s="117"/>
      <c r="OV121" s="117"/>
      <c r="OW121" s="117"/>
      <c r="OX121" s="117"/>
      <c r="OY121" s="117"/>
      <c r="OZ121" s="117"/>
      <c r="PA121" s="117"/>
      <c r="PB121" s="117"/>
      <c r="PC121" s="117"/>
      <c r="PD121" s="117"/>
      <c r="PE121" s="117"/>
      <c r="PF121" s="117"/>
      <c r="PG121" s="117"/>
      <c r="PH121" s="117"/>
      <c r="PI121" s="117"/>
      <c r="PJ121" s="117"/>
      <c r="PK121" s="117"/>
      <c r="PL121" s="117"/>
      <c r="PM121" s="117"/>
      <c r="PN121" s="117"/>
      <c r="PO121" s="117"/>
      <c r="PP121" s="117"/>
      <c r="PQ121" s="117"/>
      <c r="PR121" s="117"/>
      <c r="PS121" s="117"/>
      <c r="PT121" s="117"/>
      <c r="PU121" s="117"/>
      <c r="PV121" s="117"/>
      <c r="PW121" s="117"/>
      <c r="PX121" s="117"/>
      <c r="PY121" s="117"/>
      <c r="PZ121" s="117"/>
      <c r="QA121" s="117"/>
      <c r="QB121" s="117"/>
      <c r="QC121" s="117"/>
      <c r="QD121" s="117"/>
      <c r="QE121" s="117"/>
      <c r="QF121" s="117"/>
      <c r="QG121" s="117"/>
      <c r="QH121" s="117"/>
      <c r="QI121" s="117"/>
      <c r="QJ121" s="117"/>
      <c r="QK121" s="117"/>
      <c r="QL121" s="117"/>
      <c r="QM121" s="117"/>
      <c r="QN121" s="117"/>
      <c r="QO121" s="117"/>
      <c r="QP121" s="117"/>
      <c r="QQ121" s="117"/>
      <c r="QR121" s="117"/>
      <c r="QS121" s="117"/>
      <c r="QT121" s="117"/>
      <c r="QU121" s="117"/>
      <c r="QV121" s="117"/>
      <c r="QW121" s="117"/>
      <c r="QX121" s="117"/>
      <c r="QY121" s="117"/>
      <c r="QZ121" s="117"/>
      <c r="RA121" s="117"/>
      <c r="RB121" s="117"/>
      <c r="RC121" s="117"/>
      <c r="RD121" s="117"/>
      <c r="RE121" s="117"/>
      <c r="RF121" s="117"/>
      <c r="RG121" s="117"/>
      <c r="RH121" s="117"/>
      <c r="RI121" s="117"/>
      <c r="RJ121" s="117"/>
      <c r="RK121" s="117"/>
      <c r="RL121" s="117"/>
      <c r="RM121" s="117"/>
      <c r="RN121" s="117"/>
      <c r="RO121" s="117"/>
      <c r="RP121" s="117"/>
      <c r="RQ121" s="117"/>
      <c r="RR121" s="117"/>
      <c r="RS121" s="117"/>
      <c r="RT121" s="117"/>
      <c r="RU121" s="117"/>
      <c r="RV121" s="117"/>
      <c r="RW121" s="117"/>
      <c r="RX121" s="117"/>
      <c r="RY121" s="117"/>
      <c r="RZ121" s="117"/>
      <c r="SA121" s="117"/>
      <c r="SB121" s="117"/>
      <c r="SC121" s="117"/>
      <c r="SD121" s="117"/>
      <c r="SE121" s="117"/>
      <c r="SF121" s="117"/>
      <c r="SG121" s="117"/>
      <c r="SH121" s="117"/>
      <c r="SI121" s="117"/>
      <c r="SJ121" s="117"/>
      <c r="SK121" s="117"/>
      <c r="SL121" s="117"/>
      <c r="SM121" s="117"/>
      <c r="SN121" s="117"/>
      <c r="SO121" s="117"/>
      <c r="SP121" s="117"/>
      <c r="SQ121" s="117"/>
      <c r="SR121" s="117"/>
      <c r="SS121" s="117"/>
      <c r="ST121" s="117"/>
      <c r="SU121" s="117"/>
      <c r="SV121" s="117"/>
      <c r="SW121" s="117"/>
      <c r="SX121" s="117"/>
      <c r="SY121" s="117"/>
      <c r="SZ121" s="117"/>
      <c r="TA121" s="117"/>
      <c r="TB121" s="117"/>
      <c r="TC121" s="117"/>
      <c r="TD121" s="117"/>
      <c r="TE121" s="117"/>
      <c r="TF121" s="117"/>
      <c r="TG121" s="117"/>
      <c r="TH121" s="117"/>
      <c r="TI121" s="117"/>
      <c r="TJ121" s="117"/>
      <c r="TK121" s="117"/>
      <c r="TL121" s="117"/>
      <c r="TM121" s="117"/>
      <c r="TN121" s="117"/>
      <c r="TO121" s="117"/>
      <c r="TP121" s="117"/>
      <c r="TQ121" s="117"/>
      <c r="TR121" s="117"/>
      <c r="TS121" s="117"/>
      <c r="TT121" s="117"/>
      <c r="TU121" s="117"/>
      <c r="TV121" s="117"/>
      <c r="TW121" s="117"/>
      <c r="TX121" s="117"/>
      <c r="TY121" s="117"/>
      <c r="TZ121" s="117"/>
      <c r="UA121" s="117"/>
      <c r="UB121" s="117"/>
      <c r="UC121" s="117"/>
      <c r="UD121" s="117"/>
      <c r="UE121" s="117"/>
      <c r="UF121" s="117"/>
      <c r="UG121" s="117"/>
      <c r="UH121" s="117"/>
      <c r="UI121" s="117"/>
      <c r="UJ121" s="117"/>
      <c r="UK121" s="117"/>
      <c r="UL121" s="117"/>
      <c r="UM121" s="117"/>
      <c r="UN121" s="117"/>
      <c r="UO121" s="117"/>
      <c r="UP121" s="117"/>
      <c r="UQ121" s="117"/>
      <c r="UR121" s="117"/>
      <c r="US121" s="117"/>
      <c r="UT121" s="117"/>
      <c r="UU121" s="117"/>
      <c r="UV121" s="117"/>
      <c r="UW121" s="117"/>
      <c r="UX121" s="117"/>
      <c r="UY121" s="117"/>
      <c r="UZ121" s="117"/>
      <c r="VA121" s="117"/>
      <c r="VB121" s="117"/>
      <c r="VC121" s="117"/>
      <c r="VD121" s="117"/>
      <c r="VE121" s="117"/>
      <c r="VF121" s="117"/>
      <c r="VG121" s="117"/>
      <c r="VH121" s="117"/>
      <c r="VI121" s="117"/>
      <c r="VJ121" s="117"/>
      <c r="VK121" s="117"/>
      <c r="VL121" s="117"/>
      <c r="VM121" s="117"/>
      <c r="VN121" s="117"/>
      <c r="VO121" s="117"/>
      <c r="VP121" s="117"/>
      <c r="VQ121" s="117"/>
      <c r="VR121" s="117"/>
      <c r="VS121" s="117"/>
      <c r="VT121" s="117"/>
      <c r="VU121" s="117"/>
      <c r="VV121" s="117"/>
      <c r="VW121" s="117"/>
      <c r="VX121" s="117"/>
      <c r="VY121" s="117"/>
      <c r="VZ121" s="117"/>
      <c r="WA121" s="117"/>
      <c r="WB121" s="117"/>
      <c r="WC121" s="117"/>
      <c r="WD121" s="117"/>
      <c r="WE121" s="117"/>
      <c r="WF121" s="117"/>
      <c r="WG121" s="117"/>
      <c r="WH121" s="117"/>
      <c r="WI121" s="117"/>
      <c r="WJ121" s="117"/>
      <c r="WK121" s="117"/>
      <c r="WL121" s="117"/>
      <c r="WM121" s="117"/>
      <c r="WN121" s="117"/>
      <c r="WO121" s="117"/>
      <c r="WP121" s="117"/>
      <c r="WQ121" s="117"/>
      <c r="WR121" s="117"/>
      <c r="WS121" s="117"/>
      <c r="WT121" s="117"/>
      <c r="WU121" s="117"/>
      <c r="WV121" s="117"/>
      <c r="WW121" s="117"/>
      <c r="WX121" s="117"/>
      <c r="WY121" s="117"/>
      <c r="WZ121" s="117"/>
      <c r="XA121" s="117"/>
      <c r="XB121" s="117"/>
      <c r="XC121" s="117"/>
      <c r="XD121" s="117"/>
      <c r="XE121" s="117"/>
      <c r="XF121" s="117"/>
      <c r="XG121" s="117"/>
      <c r="XH121" s="117"/>
      <c r="XI121" s="117"/>
      <c r="XJ121" s="117"/>
      <c r="XK121" s="117"/>
      <c r="XL121" s="117"/>
      <c r="XM121" s="117"/>
      <c r="XN121" s="117"/>
      <c r="XO121" s="117"/>
      <c r="XP121" s="117"/>
      <c r="XQ121" s="117"/>
      <c r="XR121" s="117"/>
      <c r="XS121" s="117"/>
      <c r="XT121" s="117"/>
      <c r="XU121" s="117"/>
      <c r="XV121" s="117"/>
      <c r="XW121" s="117"/>
      <c r="XX121" s="117"/>
      <c r="XY121" s="117"/>
      <c r="XZ121" s="117"/>
      <c r="YA121" s="117"/>
      <c r="YB121" s="117"/>
      <c r="YC121" s="117"/>
      <c r="YD121" s="117"/>
      <c r="YE121" s="117"/>
      <c r="YF121" s="117"/>
      <c r="YG121" s="117"/>
      <c r="YH121" s="117"/>
      <c r="YI121" s="117"/>
      <c r="YJ121" s="117"/>
      <c r="YK121" s="117"/>
      <c r="YL121" s="117"/>
      <c r="YM121" s="117"/>
      <c r="YN121" s="117"/>
      <c r="YO121" s="117"/>
      <c r="YP121" s="117"/>
      <c r="YQ121" s="117"/>
      <c r="YR121" s="117"/>
      <c r="YS121" s="117"/>
      <c r="YT121" s="117"/>
      <c r="YU121" s="117"/>
      <c r="YV121" s="117"/>
      <c r="YW121" s="117"/>
      <c r="YX121" s="117"/>
      <c r="YY121" s="117"/>
      <c r="YZ121" s="117"/>
      <c r="ZA121" s="117"/>
      <c r="ZB121" s="117"/>
      <c r="ZC121" s="117"/>
      <c r="ZD121" s="117"/>
      <c r="ZE121" s="117"/>
      <c r="ZF121" s="117"/>
      <c r="ZG121" s="117"/>
      <c r="ZH121" s="117"/>
      <c r="ZI121" s="117"/>
      <c r="ZJ121" s="117"/>
      <c r="ZK121" s="117"/>
      <c r="ZL121" s="117"/>
      <c r="ZM121" s="117"/>
      <c r="ZN121" s="117"/>
      <c r="ZO121" s="117"/>
      <c r="ZP121" s="117"/>
      <c r="ZQ121" s="117"/>
      <c r="ZR121" s="117"/>
      <c r="ZS121" s="117"/>
      <c r="ZT121" s="117"/>
      <c r="ZU121" s="117"/>
      <c r="ZV121" s="117"/>
      <c r="ZW121" s="117"/>
      <c r="ZX121" s="117"/>
      <c r="ZY121" s="117"/>
      <c r="ZZ121" s="117"/>
      <c r="AAA121" s="117"/>
      <c r="AAB121" s="117"/>
      <c r="AAC121" s="117"/>
      <c r="AAD121" s="117"/>
      <c r="AAE121" s="117"/>
      <c r="AAF121" s="117"/>
      <c r="AAG121" s="117"/>
      <c r="AAH121" s="117"/>
      <c r="AAI121" s="117"/>
      <c r="AAJ121" s="117"/>
      <c r="AAK121" s="117"/>
      <c r="AAL121" s="117"/>
      <c r="AAM121" s="117"/>
      <c r="AAN121" s="117"/>
      <c r="AAO121" s="117"/>
      <c r="AAP121" s="117"/>
      <c r="AAQ121" s="117"/>
      <c r="AAR121" s="117"/>
      <c r="AAS121" s="117"/>
      <c r="AAT121" s="117"/>
      <c r="AAU121" s="117"/>
      <c r="AAV121" s="117"/>
      <c r="AAW121" s="117"/>
      <c r="AAX121" s="117"/>
      <c r="AAY121" s="117"/>
      <c r="AAZ121" s="117"/>
      <c r="ABA121" s="117"/>
      <c r="ABB121" s="117"/>
      <c r="ABC121" s="117"/>
      <c r="ABD121" s="117"/>
      <c r="ABE121" s="117"/>
      <c r="ABF121" s="117"/>
      <c r="ABG121" s="117"/>
      <c r="ABH121" s="117"/>
      <c r="ABI121" s="117"/>
      <c r="ABJ121" s="117"/>
      <c r="ABK121" s="117"/>
      <c r="ABL121" s="117"/>
      <c r="ABM121" s="117"/>
      <c r="ABN121" s="117"/>
      <c r="ABO121" s="117"/>
      <c r="ABP121" s="117"/>
      <c r="ABQ121" s="117"/>
      <c r="ABR121" s="117"/>
      <c r="ABS121" s="117"/>
      <c r="ABT121" s="117"/>
      <c r="ABU121" s="117"/>
      <c r="ABV121" s="117"/>
      <c r="ABW121" s="117"/>
      <c r="ABX121" s="117"/>
      <c r="ABY121" s="117"/>
      <c r="ABZ121" s="117"/>
      <c r="ACA121" s="117"/>
      <c r="ACB121" s="117"/>
      <c r="ACC121" s="117"/>
      <c r="ACD121" s="117"/>
      <c r="ACE121" s="117"/>
      <c r="ACF121" s="117"/>
      <c r="ACG121" s="117"/>
      <c r="ACH121" s="117"/>
      <c r="ACI121" s="117"/>
      <c r="ACJ121" s="117"/>
      <c r="ACK121" s="117"/>
      <c r="ACL121" s="117"/>
      <c r="ACM121" s="117"/>
      <c r="ACN121" s="117"/>
      <c r="ACO121" s="117"/>
      <c r="ACP121" s="117"/>
      <c r="ACQ121" s="117"/>
      <c r="ACR121" s="117"/>
      <c r="ACS121" s="117"/>
      <c r="ACT121" s="117"/>
      <c r="ACU121" s="117"/>
      <c r="ACV121" s="117"/>
      <c r="ACW121" s="117"/>
      <c r="ACX121" s="117"/>
      <c r="ACY121" s="117"/>
      <c r="ACZ121" s="117"/>
      <c r="ADA121" s="117"/>
      <c r="ADB121" s="117"/>
      <c r="ADC121" s="117"/>
      <c r="ADD121" s="117"/>
      <c r="ADE121" s="117"/>
      <c r="ADF121" s="117"/>
      <c r="ADG121" s="117"/>
      <c r="ADH121" s="117"/>
      <c r="ADI121" s="117"/>
      <c r="ADJ121" s="117"/>
      <c r="ADK121" s="117"/>
      <c r="ADL121" s="117"/>
      <c r="ADM121" s="117"/>
      <c r="ADN121" s="117"/>
      <c r="ADO121" s="117"/>
      <c r="ADP121" s="117"/>
      <c r="ADQ121" s="117"/>
      <c r="ADR121" s="117"/>
      <c r="ADS121" s="117"/>
      <c r="ADT121" s="117"/>
      <c r="ADU121" s="117"/>
      <c r="ADV121" s="117"/>
      <c r="ADW121" s="117"/>
      <c r="ADX121" s="117"/>
      <c r="ADY121" s="117"/>
      <c r="ADZ121" s="117"/>
      <c r="AEA121" s="117"/>
      <c r="AEB121" s="117"/>
      <c r="AEC121" s="117"/>
      <c r="AED121" s="117"/>
      <c r="AEE121" s="117"/>
      <c r="AEF121" s="117"/>
      <c r="AEG121" s="117"/>
      <c r="AEH121" s="117"/>
      <c r="AEI121" s="117"/>
      <c r="AEJ121" s="117"/>
      <c r="AEK121" s="117"/>
      <c r="AEL121" s="117"/>
      <c r="AEM121" s="117"/>
      <c r="AEN121" s="117"/>
      <c r="AEO121" s="117"/>
      <c r="AEP121" s="117"/>
      <c r="AEQ121" s="117"/>
      <c r="AER121" s="117"/>
      <c r="AES121" s="117"/>
      <c r="AET121" s="117"/>
      <c r="AEU121" s="117"/>
      <c r="AEV121" s="117"/>
      <c r="AEW121" s="117"/>
      <c r="AEX121" s="117"/>
      <c r="AEY121" s="117"/>
      <c r="AEZ121" s="117"/>
      <c r="AFA121" s="117"/>
      <c r="AFB121" s="117"/>
      <c r="AFC121" s="117"/>
      <c r="AFD121" s="117"/>
      <c r="AFE121" s="117"/>
      <c r="AFF121" s="117"/>
      <c r="AFG121" s="117"/>
      <c r="AFH121" s="117"/>
      <c r="AFI121" s="117"/>
      <c r="AFJ121" s="117"/>
      <c r="AFK121" s="117"/>
      <c r="AFL121" s="117"/>
      <c r="AFM121" s="117"/>
      <c r="AFN121" s="117"/>
      <c r="AFO121" s="117"/>
      <c r="AFP121" s="117"/>
      <c r="AFQ121" s="117"/>
      <c r="AFR121" s="117"/>
      <c r="AFS121" s="117"/>
      <c r="AFT121" s="117"/>
      <c r="AFU121" s="117"/>
      <c r="AFV121" s="117"/>
      <c r="AFW121" s="117"/>
      <c r="AFX121" s="117"/>
      <c r="AFY121" s="117"/>
      <c r="AFZ121" s="117"/>
      <c r="AGA121" s="117"/>
      <c r="AGB121" s="117"/>
      <c r="AGC121" s="117"/>
      <c r="AGD121" s="117"/>
      <c r="AGE121" s="117"/>
      <c r="AGF121" s="117"/>
      <c r="AGG121" s="117"/>
      <c r="AGH121" s="117"/>
      <c r="AGI121" s="117"/>
      <c r="AGJ121" s="117"/>
      <c r="AGK121" s="117"/>
      <c r="AGL121" s="117"/>
      <c r="AGM121" s="117"/>
      <c r="AGN121" s="117"/>
      <c r="AGO121" s="117"/>
      <c r="AGP121" s="117"/>
      <c r="AGQ121" s="117"/>
      <c r="AGR121" s="117"/>
      <c r="AGS121" s="117"/>
      <c r="AGT121" s="117"/>
      <c r="AGU121" s="117"/>
      <c r="AGV121" s="117"/>
      <c r="AGW121" s="117"/>
      <c r="AGX121" s="117"/>
      <c r="AGY121" s="117"/>
      <c r="AGZ121" s="117"/>
      <c r="AHA121" s="117"/>
      <c r="AHB121" s="117"/>
      <c r="AHC121" s="117"/>
      <c r="AHD121" s="117"/>
      <c r="AHE121" s="117"/>
      <c r="AHF121" s="117"/>
      <c r="AHG121" s="117"/>
      <c r="AHH121" s="117"/>
      <c r="AHI121" s="117"/>
      <c r="AHJ121" s="117"/>
      <c r="AHK121" s="117"/>
      <c r="AHL121" s="117"/>
      <c r="AHM121" s="117"/>
      <c r="AHN121" s="117"/>
      <c r="AHO121" s="117"/>
      <c r="AHP121" s="117"/>
      <c r="AHQ121" s="117"/>
      <c r="AHR121" s="117"/>
      <c r="AHS121" s="117"/>
      <c r="AHT121" s="117"/>
      <c r="AHU121" s="117"/>
      <c r="AHV121" s="117"/>
      <c r="AHW121" s="117"/>
      <c r="AHX121" s="117"/>
      <c r="AHY121" s="117"/>
      <c r="AHZ121" s="117"/>
      <c r="AIA121" s="117"/>
      <c r="AIB121" s="117"/>
      <c r="AIC121" s="117"/>
      <c r="AID121" s="117"/>
      <c r="AIE121" s="117"/>
      <c r="AIF121" s="117"/>
      <c r="AIG121" s="117"/>
      <c r="AIH121" s="117"/>
      <c r="AII121" s="117"/>
      <c r="AIJ121" s="117"/>
      <c r="AIK121" s="117"/>
      <c r="AIL121" s="117"/>
      <c r="AIM121" s="117"/>
      <c r="AIN121" s="117"/>
      <c r="AIO121" s="117"/>
      <c r="AIP121" s="117"/>
      <c r="AIQ121" s="117"/>
      <c r="AIR121" s="117"/>
      <c r="AIS121" s="117"/>
      <c r="AIT121" s="117"/>
      <c r="AIU121" s="117"/>
      <c r="AIV121" s="117"/>
      <c r="AIW121" s="117"/>
      <c r="AIX121" s="117"/>
      <c r="AIY121" s="117"/>
      <c r="AIZ121" s="117"/>
      <c r="AJA121" s="117"/>
      <c r="AJB121" s="117"/>
      <c r="AJC121" s="117"/>
      <c r="AJD121" s="117"/>
      <c r="AJE121" s="117"/>
      <c r="AJF121" s="117"/>
      <c r="AJG121" s="117"/>
      <c r="AJH121" s="117"/>
      <c r="AJI121" s="117"/>
      <c r="AJJ121" s="117"/>
      <c r="AJK121" s="117"/>
      <c r="AJL121" s="117"/>
      <c r="AJM121" s="117"/>
      <c r="AJN121" s="117"/>
      <c r="AJO121" s="117"/>
      <c r="AJP121" s="117"/>
      <c r="AJQ121" s="117"/>
      <c r="AJR121" s="117"/>
      <c r="AJS121" s="117"/>
      <c r="AJT121" s="117"/>
      <c r="AJU121" s="117"/>
      <c r="AJV121" s="117"/>
      <c r="AJW121" s="117"/>
      <c r="AJX121" s="117"/>
      <c r="AJY121" s="117"/>
      <c r="AJZ121" s="117"/>
      <c r="AKA121" s="117"/>
      <c r="AKB121" s="117"/>
      <c r="AKC121" s="117"/>
      <c r="AKD121" s="117"/>
      <c r="AKE121" s="117"/>
      <c r="AKF121" s="117"/>
      <c r="AKG121" s="117"/>
      <c r="AKH121" s="117"/>
      <c r="AKI121" s="117"/>
      <c r="AKJ121" s="117"/>
      <c r="AKK121" s="117"/>
      <c r="AKL121" s="117"/>
      <c r="AKM121" s="117"/>
      <c r="AKN121" s="117"/>
      <c r="AKO121" s="117"/>
      <c r="AKP121" s="117"/>
      <c r="AKQ121" s="117"/>
      <c r="AKR121" s="117"/>
      <c r="AKS121" s="117"/>
      <c r="AKT121" s="117"/>
      <c r="AKU121" s="117"/>
      <c r="AKV121" s="117"/>
      <c r="AKW121" s="117"/>
      <c r="AKX121" s="117"/>
      <c r="AKY121" s="117"/>
      <c r="AKZ121" s="117"/>
      <c r="ALA121" s="117"/>
      <c r="ALB121" s="117"/>
      <c r="ALC121" s="117"/>
      <c r="ALD121" s="117"/>
      <c r="ALE121" s="117"/>
      <c r="ALF121" s="117"/>
      <c r="ALG121" s="117"/>
      <c r="ALH121" s="117"/>
      <c r="ALI121" s="117"/>
      <c r="ALJ121" s="117"/>
      <c r="ALK121" s="117"/>
      <c r="ALL121" s="117"/>
      <c r="ALM121" s="117"/>
      <c r="ALN121" s="117"/>
      <c r="ALO121" s="117"/>
      <c r="ALP121" s="117"/>
      <c r="ALQ121" s="117"/>
      <c r="ALR121" s="117"/>
      <c r="ALS121" s="117"/>
      <c r="ALT121" s="117"/>
      <c r="ALU121" s="117"/>
      <c r="ALV121" s="117"/>
      <c r="ALW121" s="117"/>
      <c r="ALX121" s="117"/>
      <c r="ALY121" s="117"/>
      <c r="ALZ121" s="117"/>
      <c r="AMA121" s="117"/>
      <c r="AMB121" s="117"/>
      <c r="AMC121" s="117"/>
      <c r="AMD121" s="117"/>
      <c r="AME121" s="117"/>
      <c r="AMF121" s="117"/>
      <c r="AMG121" s="117"/>
      <c r="AMH121" s="117"/>
      <c r="AMI121" s="117"/>
      <c r="AMJ121" s="117"/>
      <c r="AMK121" s="117"/>
      <c r="AML121" s="117"/>
      <c r="AMM121" s="117"/>
      <c r="AMN121" s="117"/>
      <c r="AMO121" s="117"/>
      <c r="AMP121" s="117"/>
      <c r="AMQ121" s="117"/>
      <c r="AMR121" s="117"/>
      <c r="AMS121" s="117"/>
      <c r="AMT121" s="117"/>
      <c r="AMU121" s="117"/>
      <c r="AMV121" s="117"/>
      <c r="AMW121" s="117"/>
      <c r="AMX121" s="117"/>
      <c r="AMY121" s="117"/>
      <c r="AMZ121" s="117"/>
      <c r="ANA121" s="117"/>
      <c r="ANB121" s="117"/>
      <c r="ANC121" s="117"/>
      <c r="AND121" s="117"/>
      <c r="ANE121" s="117"/>
      <c r="ANF121" s="117"/>
      <c r="ANG121" s="117"/>
      <c r="ANH121" s="117"/>
      <c r="ANI121" s="117"/>
      <c r="ANJ121" s="117"/>
      <c r="ANK121" s="117"/>
      <c r="ANL121" s="117"/>
      <c r="ANM121" s="117"/>
      <c r="ANN121" s="117"/>
      <c r="ANO121" s="117"/>
      <c r="ANP121" s="117"/>
      <c r="ANQ121" s="117"/>
      <c r="ANR121" s="117"/>
      <c r="ANS121" s="117"/>
      <c r="ANT121" s="117"/>
      <c r="ANU121" s="117"/>
      <c r="ANV121" s="117"/>
      <c r="ANW121" s="117"/>
      <c r="ANX121" s="117"/>
      <c r="ANY121" s="117"/>
      <c r="ANZ121" s="117"/>
      <c r="AOA121" s="117"/>
      <c r="AOB121" s="117"/>
      <c r="AOC121" s="117"/>
      <c r="AOD121" s="117"/>
      <c r="AOE121" s="117"/>
      <c r="AOF121" s="117"/>
      <c r="AOG121" s="117"/>
      <c r="AOH121" s="117"/>
      <c r="AOI121" s="117"/>
      <c r="AOJ121" s="117"/>
      <c r="AOK121" s="117"/>
      <c r="AOL121" s="117"/>
      <c r="AOM121" s="117"/>
      <c r="AON121" s="117"/>
      <c r="AOO121" s="117"/>
      <c r="AOP121" s="117"/>
      <c r="AOQ121" s="117"/>
      <c r="AOR121" s="117"/>
      <c r="AOS121" s="117"/>
      <c r="AOT121" s="117"/>
      <c r="AOU121" s="117"/>
      <c r="AOV121" s="117"/>
      <c r="AOW121" s="117"/>
      <c r="AOX121" s="117"/>
      <c r="AOY121" s="117"/>
      <c r="AOZ121" s="117"/>
      <c r="APA121" s="117"/>
      <c r="APB121" s="117"/>
      <c r="APC121" s="117"/>
      <c r="APD121" s="117"/>
      <c r="APE121" s="117"/>
      <c r="APF121" s="117"/>
      <c r="APG121" s="117"/>
      <c r="APH121" s="117"/>
      <c r="API121" s="117"/>
      <c r="APJ121" s="117"/>
      <c r="APK121" s="117"/>
      <c r="APL121" s="117"/>
      <c r="APM121" s="117"/>
      <c r="APN121" s="117"/>
      <c r="APO121" s="117"/>
      <c r="APP121" s="117"/>
      <c r="APQ121" s="117"/>
      <c r="APR121" s="117"/>
      <c r="APS121" s="117"/>
      <c r="APT121" s="117"/>
      <c r="APU121" s="117"/>
      <c r="APV121" s="117"/>
      <c r="APW121" s="117"/>
      <c r="APX121" s="117"/>
      <c r="APY121" s="117"/>
      <c r="APZ121" s="117"/>
      <c r="AQA121" s="117"/>
      <c r="AQB121" s="117"/>
      <c r="AQC121" s="117"/>
      <c r="AQD121" s="117"/>
      <c r="AQE121" s="117"/>
      <c r="AQF121" s="117"/>
      <c r="AQG121" s="117"/>
      <c r="AQH121" s="117"/>
      <c r="AQI121" s="117"/>
      <c r="AQJ121" s="117"/>
      <c r="AQK121" s="117"/>
      <c r="AQL121" s="117"/>
      <c r="AQM121" s="117"/>
      <c r="AQN121" s="117"/>
      <c r="AQO121" s="117"/>
      <c r="AQP121" s="117"/>
      <c r="AQQ121" s="117"/>
      <c r="AQR121" s="117"/>
      <c r="AQS121" s="117"/>
      <c r="AQT121" s="117"/>
      <c r="AQU121" s="117"/>
      <c r="AQV121" s="117"/>
      <c r="AQW121" s="117"/>
      <c r="AQX121" s="117"/>
      <c r="AQY121" s="117"/>
      <c r="AQZ121" s="117"/>
      <c r="ARA121" s="117"/>
      <c r="ARB121" s="117"/>
      <c r="ARC121" s="117"/>
      <c r="ARD121" s="117"/>
      <c r="ARE121" s="117"/>
      <c r="ARF121" s="117"/>
      <c r="ARG121" s="117"/>
      <c r="ARH121" s="117"/>
      <c r="ARI121" s="117"/>
      <c r="ARJ121" s="117"/>
      <c r="ARK121" s="117"/>
      <c r="ARL121" s="117"/>
      <c r="ARM121" s="117"/>
      <c r="ARN121" s="117"/>
      <c r="ARO121" s="117"/>
      <c r="ARP121" s="117"/>
      <c r="ARQ121" s="117"/>
      <c r="ARR121" s="117"/>
      <c r="ARS121" s="117"/>
      <c r="ART121" s="117"/>
      <c r="ARU121" s="117"/>
      <c r="ARV121" s="117"/>
      <c r="ARW121" s="117"/>
      <c r="ARX121" s="117"/>
      <c r="ARY121" s="117"/>
      <c r="ARZ121" s="117"/>
      <c r="ASA121" s="117"/>
      <c r="ASB121" s="117"/>
      <c r="ASC121" s="117"/>
      <c r="ASD121" s="117"/>
      <c r="ASE121" s="117"/>
      <c r="ASF121" s="117"/>
      <c r="ASG121" s="117"/>
      <c r="ASH121" s="117"/>
      <c r="ASI121" s="117"/>
      <c r="ASJ121" s="117"/>
      <c r="ASK121" s="117"/>
      <c r="ASL121" s="117"/>
      <c r="ASM121" s="117"/>
      <c r="ASN121" s="117"/>
      <c r="ASO121" s="117"/>
      <c r="ASP121" s="117"/>
      <c r="ASQ121" s="117"/>
      <c r="ASR121" s="117"/>
      <c r="ASS121" s="117"/>
      <c r="AST121" s="117"/>
      <c r="ASU121" s="117"/>
      <c r="ASV121" s="117"/>
      <c r="ASW121" s="117"/>
      <c r="ASX121" s="117"/>
      <c r="ASY121" s="117"/>
      <c r="ASZ121" s="117"/>
      <c r="ATA121" s="117"/>
      <c r="ATB121" s="117"/>
      <c r="ATC121" s="117"/>
      <c r="ATD121" s="117"/>
      <c r="ATE121" s="117"/>
      <c r="ATF121" s="117"/>
      <c r="ATG121" s="117"/>
      <c r="ATH121" s="117"/>
      <c r="ATI121" s="117"/>
      <c r="ATJ121" s="117"/>
      <c r="ATK121" s="117"/>
      <c r="ATL121" s="117"/>
      <c r="ATM121" s="117"/>
      <c r="ATN121" s="117"/>
      <c r="ATO121" s="117"/>
      <c r="ATP121" s="117"/>
      <c r="ATQ121" s="117"/>
      <c r="ATR121" s="117"/>
      <c r="ATS121" s="117"/>
      <c r="ATT121" s="117"/>
      <c r="ATU121" s="117"/>
      <c r="ATV121" s="117"/>
      <c r="ATW121" s="117"/>
      <c r="ATX121" s="117"/>
      <c r="ATY121" s="117"/>
      <c r="ATZ121" s="117"/>
      <c r="AUA121" s="117"/>
      <c r="AUB121" s="117"/>
      <c r="AUC121" s="117"/>
      <c r="AUD121" s="117"/>
      <c r="AUE121" s="117"/>
      <c r="AUF121" s="117"/>
      <c r="AUG121" s="117"/>
      <c r="AUH121" s="117"/>
      <c r="AUI121" s="117"/>
      <c r="AUJ121" s="117"/>
      <c r="AUK121" s="117"/>
      <c r="AUL121" s="117"/>
      <c r="AUM121" s="117"/>
      <c r="AUN121" s="117"/>
      <c r="AUO121" s="117"/>
      <c r="AUP121" s="117"/>
      <c r="AUQ121" s="117"/>
      <c r="AUR121" s="117"/>
      <c r="AUS121" s="117"/>
      <c r="AUT121" s="117"/>
      <c r="AUU121" s="117"/>
      <c r="AUV121" s="117"/>
      <c r="AUW121" s="117"/>
      <c r="AUX121" s="117"/>
      <c r="AUY121" s="117"/>
      <c r="AUZ121" s="117"/>
      <c r="AVA121" s="117"/>
      <c r="AVB121" s="117"/>
      <c r="AVC121" s="117"/>
      <c r="AVD121" s="117"/>
      <c r="AVE121" s="117"/>
      <c r="AVF121" s="117"/>
      <c r="AVG121" s="117"/>
      <c r="AVH121" s="117"/>
      <c r="AVI121" s="117"/>
      <c r="AVJ121" s="117"/>
      <c r="AVK121" s="117"/>
      <c r="AVL121" s="117"/>
      <c r="AVM121" s="117"/>
      <c r="AVN121" s="117"/>
      <c r="AVO121" s="117"/>
      <c r="AVP121" s="117"/>
      <c r="AVQ121" s="117"/>
      <c r="AVR121" s="117"/>
      <c r="AVS121" s="117"/>
      <c r="AVT121" s="117"/>
      <c r="AVU121" s="117"/>
    </row>
    <row r="122" spans="2:1269" ht="13.5" customHeight="1" x14ac:dyDescent="0.2">
      <c r="B122" s="117"/>
      <c r="C122" s="117"/>
      <c r="D122" s="117"/>
      <c r="E122" s="117"/>
      <c r="F122" s="117"/>
      <c r="G122" s="117"/>
      <c r="H122" s="117"/>
      <c r="I122" s="117"/>
      <c r="J122" s="117"/>
      <c r="K122" s="117"/>
      <c r="L122" s="117"/>
      <c r="M122" s="117"/>
      <c r="N122" s="117"/>
      <c r="O122" s="117"/>
      <c r="P122" s="117"/>
      <c r="Q122" s="117"/>
      <c r="R122" s="117"/>
      <c r="S122" s="117"/>
      <c r="T122" s="117"/>
      <c r="U122" s="117"/>
      <c r="V122" s="122"/>
      <c r="W122" s="122"/>
    </row>
    <row r="123" spans="2:1269" ht="13.5" customHeight="1" x14ac:dyDescent="0.2">
      <c r="B123" s="117"/>
      <c r="C123" s="117"/>
      <c r="D123" s="117"/>
      <c r="E123" s="117"/>
      <c r="F123" s="117"/>
      <c r="G123" s="117"/>
      <c r="H123" s="117"/>
      <c r="I123" s="117"/>
      <c r="J123" s="117"/>
      <c r="K123" s="117"/>
      <c r="L123" s="117"/>
      <c r="M123" s="117"/>
      <c r="N123" s="117"/>
      <c r="O123" s="117"/>
      <c r="P123" s="117"/>
      <c r="Q123" s="117"/>
      <c r="R123" s="117"/>
      <c r="S123" s="117"/>
      <c r="T123" s="117"/>
      <c r="U123" s="117"/>
      <c r="V123" s="122"/>
      <c r="W123" s="122"/>
    </row>
    <row r="124" spans="2:1269" ht="13.5" customHeight="1" x14ac:dyDescent="0.2">
      <c r="B124" s="117"/>
      <c r="C124" s="117"/>
      <c r="D124" s="117"/>
      <c r="E124" s="117"/>
      <c r="F124" s="117"/>
      <c r="G124" s="117"/>
      <c r="H124" s="117"/>
      <c r="I124" s="117"/>
      <c r="J124" s="117"/>
      <c r="K124" s="117"/>
      <c r="L124" s="117"/>
      <c r="M124" s="117"/>
      <c r="N124" s="117"/>
      <c r="O124" s="117"/>
      <c r="P124" s="117"/>
      <c r="Q124" s="117"/>
      <c r="R124" s="117"/>
      <c r="S124" s="117"/>
      <c r="T124" s="117"/>
      <c r="U124" s="117"/>
      <c r="V124" s="122"/>
      <c r="W124" s="122"/>
    </row>
    <row r="125" spans="2:1269" ht="13.5" customHeight="1" x14ac:dyDescent="0.2">
      <c r="B125" s="117"/>
      <c r="C125" s="117"/>
      <c r="D125" s="117"/>
      <c r="E125" s="117"/>
      <c r="F125" s="117"/>
      <c r="G125" s="117"/>
      <c r="H125" s="117"/>
      <c r="I125" s="117"/>
      <c r="J125" s="117"/>
      <c r="K125" s="117"/>
      <c r="L125" s="117"/>
      <c r="M125" s="117"/>
      <c r="N125" s="117"/>
      <c r="O125" s="117"/>
      <c r="P125" s="117"/>
      <c r="Q125" s="117"/>
      <c r="R125" s="117"/>
      <c r="S125" s="117"/>
      <c r="T125" s="117"/>
      <c r="U125" s="117"/>
      <c r="V125" s="122"/>
      <c r="W125" s="122"/>
    </row>
    <row r="126" spans="2:1269" ht="13.5" customHeight="1" x14ac:dyDescent="0.2">
      <c r="B126" s="117"/>
      <c r="C126" s="117"/>
      <c r="D126" s="117"/>
      <c r="E126" s="117"/>
      <c r="F126" s="117"/>
      <c r="G126" s="117"/>
      <c r="H126" s="117"/>
      <c r="I126" s="117"/>
      <c r="J126" s="117"/>
      <c r="K126" s="117"/>
      <c r="L126" s="117"/>
      <c r="M126" s="117"/>
      <c r="N126" s="117"/>
      <c r="O126" s="117"/>
      <c r="P126" s="117"/>
      <c r="Q126" s="117"/>
      <c r="R126" s="117"/>
      <c r="S126" s="117"/>
      <c r="T126" s="117"/>
      <c r="U126" s="117"/>
      <c r="V126" s="122"/>
      <c r="W126" s="122"/>
    </row>
    <row r="127" spans="2:1269" ht="13.5" customHeight="1" x14ac:dyDescent="0.2">
      <c r="B127" s="117"/>
      <c r="C127" s="117"/>
      <c r="D127" s="117"/>
      <c r="E127" s="117"/>
      <c r="F127" s="117"/>
      <c r="G127" s="117"/>
      <c r="H127" s="117"/>
      <c r="I127" s="117"/>
      <c r="J127" s="117"/>
      <c r="K127" s="117"/>
      <c r="L127" s="117"/>
      <c r="M127" s="117"/>
      <c r="N127" s="117"/>
      <c r="O127" s="117"/>
      <c r="P127" s="117"/>
      <c r="Q127" s="117"/>
      <c r="R127" s="117"/>
      <c r="S127" s="117"/>
      <c r="T127" s="117"/>
      <c r="U127" s="117"/>
      <c r="V127" s="122"/>
      <c r="W127" s="122"/>
    </row>
    <row r="128" spans="2:1269" ht="13.5" customHeight="1" x14ac:dyDescent="0.2">
      <c r="B128" s="117"/>
      <c r="C128" s="117"/>
      <c r="D128" s="117"/>
      <c r="E128" s="117"/>
      <c r="F128" s="117"/>
      <c r="G128" s="117"/>
      <c r="H128" s="117"/>
      <c r="I128" s="117"/>
      <c r="J128" s="117"/>
      <c r="K128" s="117"/>
      <c r="L128" s="117"/>
      <c r="M128" s="117"/>
      <c r="N128" s="117"/>
      <c r="O128" s="117"/>
      <c r="P128" s="117"/>
      <c r="Q128" s="117"/>
      <c r="R128" s="117"/>
      <c r="S128" s="117"/>
      <c r="T128" s="117"/>
      <c r="U128" s="117"/>
      <c r="V128" s="122"/>
      <c r="W128" s="122"/>
    </row>
    <row r="129" spans="2:23" ht="13.5" customHeight="1" x14ac:dyDescent="0.2">
      <c r="B129" s="117"/>
      <c r="C129" s="117"/>
      <c r="D129" s="117"/>
      <c r="E129" s="117"/>
      <c r="F129" s="117"/>
      <c r="G129" s="117"/>
      <c r="H129" s="117"/>
      <c r="I129" s="117"/>
      <c r="J129" s="117"/>
      <c r="K129" s="117"/>
      <c r="L129" s="117"/>
      <c r="M129" s="117"/>
      <c r="N129" s="117"/>
      <c r="O129" s="117"/>
      <c r="P129" s="117"/>
      <c r="Q129" s="117"/>
      <c r="R129" s="117"/>
      <c r="S129" s="117"/>
      <c r="T129" s="117"/>
      <c r="U129" s="117"/>
      <c r="V129" s="122"/>
      <c r="W129" s="122"/>
    </row>
    <row r="130" spans="2:23" ht="13.5" customHeight="1" x14ac:dyDescent="0.2">
      <c r="B130" s="117"/>
      <c r="C130" s="117"/>
      <c r="D130" s="117"/>
      <c r="E130" s="117"/>
      <c r="F130" s="117"/>
      <c r="G130" s="117"/>
      <c r="H130" s="117"/>
      <c r="I130" s="117"/>
      <c r="J130" s="117"/>
      <c r="K130" s="117"/>
      <c r="L130" s="117"/>
      <c r="M130" s="117"/>
      <c r="N130" s="117"/>
      <c r="O130" s="117"/>
      <c r="P130" s="117"/>
      <c r="Q130" s="117"/>
      <c r="R130" s="117"/>
      <c r="S130" s="117"/>
      <c r="T130" s="117"/>
      <c r="U130" s="117"/>
      <c r="V130" s="122"/>
      <c r="W130" s="122"/>
    </row>
    <row r="131" spans="2:23" ht="13.5" customHeight="1" x14ac:dyDescent="0.2">
      <c r="B131" s="117"/>
      <c r="C131" s="117"/>
      <c r="D131" s="117"/>
      <c r="E131" s="117"/>
      <c r="F131" s="117"/>
      <c r="G131" s="117"/>
      <c r="H131" s="117"/>
      <c r="I131" s="117"/>
      <c r="J131" s="117"/>
      <c r="K131" s="117"/>
      <c r="L131" s="117"/>
      <c r="M131" s="117"/>
      <c r="N131" s="117"/>
      <c r="O131" s="117"/>
      <c r="P131" s="117"/>
      <c r="Q131" s="117"/>
      <c r="R131" s="117"/>
      <c r="S131" s="117"/>
      <c r="T131" s="117"/>
      <c r="U131" s="117"/>
      <c r="V131" s="122"/>
      <c r="W131" s="122"/>
    </row>
    <row r="132" spans="2:23" ht="13.5" customHeight="1" x14ac:dyDescent="0.2">
      <c r="B132" s="117"/>
      <c r="C132" s="117"/>
      <c r="D132" s="117"/>
      <c r="E132" s="117"/>
      <c r="F132" s="117"/>
      <c r="G132" s="117"/>
      <c r="H132" s="117"/>
      <c r="I132" s="117"/>
      <c r="J132" s="117"/>
      <c r="K132" s="117"/>
      <c r="L132" s="117"/>
      <c r="M132" s="117"/>
      <c r="N132" s="117"/>
      <c r="O132" s="117"/>
      <c r="P132" s="117"/>
      <c r="Q132" s="117"/>
      <c r="R132" s="117"/>
      <c r="S132" s="117"/>
      <c r="T132" s="117"/>
      <c r="U132" s="117"/>
      <c r="V132" s="122"/>
      <c r="W132" s="122"/>
    </row>
    <row r="133" spans="2:23" ht="13.5" customHeight="1" x14ac:dyDescent="0.2">
      <c r="B133" s="117"/>
      <c r="C133" s="117"/>
      <c r="D133" s="117"/>
      <c r="E133" s="117"/>
      <c r="F133" s="117"/>
      <c r="G133" s="117"/>
      <c r="H133" s="117"/>
      <c r="I133" s="117"/>
      <c r="J133" s="117"/>
      <c r="K133" s="117"/>
      <c r="L133" s="117"/>
      <c r="M133" s="117"/>
      <c r="N133" s="117"/>
      <c r="O133" s="117"/>
      <c r="P133" s="117"/>
      <c r="Q133" s="117"/>
      <c r="R133" s="117"/>
      <c r="S133" s="117"/>
      <c r="T133" s="117"/>
      <c r="U133" s="117"/>
      <c r="V133" s="122"/>
      <c r="W133" s="122"/>
    </row>
    <row r="134" spans="2:23" ht="13.5" customHeight="1" x14ac:dyDescent="0.2">
      <c r="B134" s="117"/>
      <c r="C134" s="117"/>
      <c r="D134" s="117"/>
      <c r="E134" s="117"/>
      <c r="F134" s="117"/>
      <c r="G134" s="117"/>
      <c r="H134" s="117"/>
      <c r="I134" s="117"/>
      <c r="J134" s="117"/>
      <c r="K134" s="117"/>
      <c r="L134" s="117"/>
      <c r="M134" s="117"/>
      <c r="N134" s="117"/>
      <c r="O134" s="117"/>
      <c r="P134" s="117"/>
      <c r="Q134" s="117"/>
      <c r="R134" s="117"/>
      <c r="S134" s="117"/>
      <c r="T134" s="117"/>
      <c r="U134" s="117"/>
      <c r="V134" s="122"/>
      <c r="W134" s="122"/>
    </row>
    <row r="135" spans="2:23" ht="13.5" customHeight="1" x14ac:dyDescent="0.2">
      <c r="B135" s="117"/>
      <c r="C135" s="117"/>
      <c r="D135" s="117"/>
      <c r="E135" s="117"/>
      <c r="F135" s="117"/>
      <c r="G135" s="117"/>
      <c r="H135" s="117"/>
      <c r="I135" s="117"/>
      <c r="J135" s="117"/>
      <c r="K135" s="117"/>
      <c r="L135" s="117"/>
      <c r="M135" s="117"/>
      <c r="N135" s="117"/>
      <c r="O135" s="117"/>
      <c r="P135" s="117"/>
      <c r="Q135" s="117"/>
      <c r="R135" s="117"/>
      <c r="S135" s="117"/>
      <c r="T135" s="117"/>
      <c r="U135" s="117"/>
      <c r="V135" s="122"/>
      <c r="W135" s="122"/>
    </row>
    <row r="136" spans="2:23" ht="13.5" customHeight="1" x14ac:dyDescent="0.2">
      <c r="B136" s="117"/>
      <c r="C136" s="117"/>
      <c r="D136" s="117"/>
      <c r="E136" s="117"/>
      <c r="F136" s="117"/>
      <c r="G136" s="117"/>
      <c r="H136" s="117"/>
      <c r="I136" s="117"/>
      <c r="J136" s="117"/>
      <c r="K136" s="117"/>
      <c r="L136" s="117"/>
      <c r="M136" s="117"/>
      <c r="N136" s="117"/>
      <c r="O136" s="117"/>
      <c r="P136" s="117"/>
      <c r="Q136" s="117"/>
      <c r="R136" s="117"/>
      <c r="S136" s="117"/>
      <c r="T136" s="117"/>
      <c r="U136" s="117"/>
      <c r="V136" s="122"/>
      <c r="W136" s="122"/>
    </row>
    <row r="137" spans="2:23" ht="13.5" customHeight="1" x14ac:dyDescent="0.2">
      <c r="B137" s="117"/>
      <c r="C137" s="117"/>
      <c r="D137" s="117"/>
      <c r="E137" s="117"/>
      <c r="F137" s="117"/>
      <c r="G137" s="117"/>
      <c r="H137" s="117"/>
      <c r="I137" s="117"/>
      <c r="J137" s="117"/>
      <c r="K137" s="117"/>
      <c r="L137" s="117"/>
      <c r="M137" s="117"/>
      <c r="N137" s="117"/>
      <c r="O137" s="117"/>
      <c r="P137" s="117"/>
      <c r="Q137" s="117"/>
      <c r="R137" s="117"/>
      <c r="S137" s="117"/>
      <c r="T137" s="117"/>
      <c r="U137" s="117"/>
      <c r="V137" s="122"/>
      <c r="W137" s="122"/>
    </row>
    <row r="138" spans="2:23" ht="13.5" customHeight="1" x14ac:dyDescent="0.2">
      <c r="B138" s="117"/>
      <c r="C138" s="117"/>
      <c r="D138" s="117"/>
      <c r="E138" s="117"/>
      <c r="F138" s="117"/>
      <c r="G138" s="117"/>
      <c r="H138" s="117"/>
      <c r="I138" s="117"/>
      <c r="J138" s="117"/>
      <c r="K138" s="117"/>
      <c r="L138" s="117"/>
      <c r="M138" s="117"/>
      <c r="N138" s="117"/>
      <c r="O138" s="117"/>
      <c r="P138" s="117"/>
      <c r="Q138" s="117"/>
      <c r="R138" s="117"/>
      <c r="S138" s="117"/>
      <c r="T138" s="117"/>
      <c r="U138" s="117"/>
      <c r="V138" s="122"/>
      <c r="W138" s="122"/>
    </row>
    <row r="139" spans="2:23" ht="13.5" customHeight="1" x14ac:dyDescent="0.2">
      <c r="B139" s="117"/>
      <c r="C139" s="117"/>
      <c r="D139" s="117"/>
      <c r="E139" s="117"/>
      <c r="F139" s="117"/>
      <c r="G139" s="117"/>
      <c r="H139" s="117"/>
      <c r="I139" s="117"/>
      <c r="J139" s="117"/>
      <c r="K139" s="117"/>
      <c r="L139" s="117"/>
      <c r="M139" s="117"/>
      <c r="N139" s="117"/>
      <c r="O139" s="117"/>
      <c r="P139" s="117"/>
      <c r="Q139" s="117"/>
      <c r="R139" s="117"/>
      <c r="S139" s="117"/>
      <c r="T139" s="117"/>
      <c r="U139" s="117"/>
      <c r="V139" s="122"/>
      <c r="W139" s="122"/>
    </row>
    <row r="140" spans="2:23" ht="13.5" customHeight="1" x14ac:dyDescent="0.2">
      <c r="B140" s="117"/>
      <c r="C140" s="117"/>
      <c r="D140" s="117"/>
      <c r="E140" s="117"/>
      <c r="F140" s="117"/>
      <c r="G140" s="117"/>
      <c r="H140" s="117"/>
      <c r="I140" s="117"/>
      <c r="J140" s="117"/>
      <c r="K140" s="117"/>
      <c r="L140" s="117"/>
      <c r="M140" s="117"/>
      <c r="N140" s="117"/>
      <c r="O140" s="117"/>
      <c r="P140" s="117"/>
      <c r="Q140" s="117"/>
      <c r="R140" s="117"/>
      <c r="S140" s="117"/>
      <c r="T140" s="117"/>
      <c r="U140" s="117"/>
      <c r="V140" s="122"/>
      <c r="W140" s="122"/>
    </row>
    <row r="141" spans="2:23" ht="13.5" customHeight="1" x14ac:dyDescent="0.2">
      <c r="B141" s="117"/>
      <c r="C141" s="117"/>
      <c r="D141" s="117"/>
      <c r="E141" s="117"/>
      <c r="F141" s="117"/>
      <c r="G141" s="117"/>
      <c r="H141" s="117"/>
      <c r="I141" s="117"/>
      <c r="J141" s="117"/>
      <c r="K141" s="117"/>
      <c r="L141" s="117"/>
      <c r="M141" s="117"/>
      <c r="N141" s="117"/>
      <c r="O141" s="117"/>
      <c r="P141" s="117"/>
      <c r="Q141" s="117"/>
      <c r="R141" s="117"/>
      <c r="S141" s="117"/>
      <c r="T141" s="117"/>
      <c r="U141" s="117"/>
      <c r="V141" s="122"/>
      <c r="W141" s="122"/>
    </row>
    <row r="142" spans="2:23" ht="13.5" customHeight="1" x14ac:dyDescent="0.2">
      <c r="B142" s="117"/>
      <c r="C142" s="117"/>
      <c r="D142" s="117"/>
      <c r="E142" s="117"/>
      <c r="F142" s="117"/>
      <c r="G142" s="117"/>
      <c r="H142" s="117"/>
      <c r="I142" s="117"/>
      <c r="J142" s="117"/>
      <c r="K142" s="117"/>
      <c r="L142" s="117"/>
      <c r="M142" s="117"/>
      <c r="N142" s="117"/>
      <c r="O142" s="117"/>
      <c r="P142" s="117"/>
      <c r="Q142" s="117"/>
      <c r="R142" s="117"/>
      <c r="S142" s="117"/>
      <c r="T142" s="117"/>
      <c r="U142" s="117"/>
      <c r="V142" s="122"/>
      <c r="W142" s="122"/>
    </row>
    <row r="143" spans="2:23" ht="13.5" customHeight="1" x14ac:dyDescent="0.2">
      <c r="B143" s="117"/>
      <c r="C143" s="117"/>
      <c r="D143" s="117"/>
      <c r="E143" s="117"/>
      <c r="F143" s="117"/>
      <c r="G143" s="117"/>
      <c r="H143" s="117"/>
      <c r="I143" s="117"/>
      <c r="J143" s="117"/>
      <c r="K143" s="117"/>
      <c r="L143" s="117"/>
      <c r="M143" s="117"/>
      <c r="N143" s="117"/>
      <c r="O143" s="117"/>
      <c r="P143" s="117"/>
      <c r="Q143" s="117"/>
      <c r="R143" s="117"/>
      <c r="S143" s="117"/>
      <c r="T143" s="117"/>
      <c r="U143" s="117"/>
      <c r="V143" s="122"/>
      <c r="W143" s="122"/>
    </row>
    <row r="144" spans="2:23" ht="13.5" customHeight="1" x14ac:dyDescent="0.2">
      <c r="B144" s="117"/>
      <c r="C144" s="117"/>
      <c r="D144" s="117"/>
      <c r="E144" s="117"/>
      <c r="F144" s="117"/>
      <c r="G144" s="117"/>
      <c r="H144" s="117"/>
      <c r="I144" s="117"/>
      <c r="J144" s="117"/>
      <c r="K144" s="117"/>
      <c r="L144" s="117"/>
      <c r="M144" s="117"/>
      <c r="N144" s="117"/>
      <c r="O144" s="117"/>
      <c r="P144" s="117"/>
      <c r="Q144" s="117"/>
      <c r="R144" s="117"/>
      <c r="S144" s="117"/>
      <c r="T144" s="117"/>
      <c r="U144" s="117"/>
      <c r="V144" s="122"/>
      <c r="W144" s="122"/>
    </row>
    <row r="145" spans="2:23" ht="13.5" customHeight="1" x14ac:dyDescent="0.2">
      <c r="B145" s="117"/>
      <c r="C145" s="117"/>
      <c r="D145" s="117"/>
      <c r="E145" s="117"/>
      <c r="F145" s="117"/>
      <c r="G145" s="117"/>
      <c r="H145" s="117"/>
      <c r="I145" s="117"/>
      <c r="J145" s="117"/>
      <c r="K145" s="117"/>
      <c r="L145" s="117"/>
      <c r="M145" s="117"/>
      <c r="N145" s="117"/>
      <c r="O145" s="117"/>
      <c r="P145" s="117"/>
      <c r="Q145" s="117"/>
      <c r="R145" s="117"/>
      <c r="S145" s="117"/>
      <c r="T145" s="117"/>
      <c r="U145" s="117"/>
      <c r="V145" s="122"/>
      <c r="W145" s="122"/>
    </row>
    <row r="146" spans="2:23" ht="13.5" customHeight="1" x14ac:dyDescent="0.2">
      <c r="B146" s="117"/>
      <c r="C146" s="117"/>
      <c r="D146" s="117"/>
      <c r="E146" s="117"/>
      <c r="F146" s="117"/>
      <c r="G146" s="117"/>
      <c r="H146" s="117"/>
      <c r="I146" s="117"/>
      <c r="J146" s="117"/>
      <c r="K146" s="117"/>
      <c r="L146" s="117"/>
      <c r="M146" s="117"/>
      <c r="N146" s="117"/>
      <c r="O146" s="117"/>
      <c r="P146" s="117"/>
      <c r="Q146" s="117"/>
      <c r="R146" s="117"/>
      <c r="S146" s="117"/>
      <c r="T146" s="117"/>
      <c r="U146" s="117"/>
      <c r="V146" s="122"/>
      <c r="W146" s="122"/>
    </row>
    <row r="147" spans="2:23" ht="13.5" customHeight="1" x14ac:dyDescent="0.2">
      <c r="B147" s="117"/>
      <c r="C147" s="117"/>
      <c r="D147" s="117"/>
      <c r="E147" s="117"/>
      <c r="F147" s="117"/>
      <c r="G147" s="117"/>
      <c r="H147" s="117"/>
      <c r="I147" s="117"/>
      <c r="J147" s="117"/>
      <c r="K147" s="117"/>
      <c r="L147" s="117"/>
      <c r="M147" s="117"/>
      <c r="N147" s="117"/>
      <c r="O147" s="117"/>
      <c r="P147" s="117"/>
      <c r="Q147" s="117"/>
      <c r="R147" s="117"/>
      <c r="S147" s="117"/>
      <c r="T147" s="117"/>
      <c r="U147" s="117"/>
      <c r="V147" s="122"/>
      <c r="W147" s="122"/>
    </row>
    <row r="148" spans="2:23" ht="13.5" customHeight="1" x14ac:dyDescent="0.2">
      <c r="B148" s="117"/>
      <c r="C148" s="117"/>
      <c r="D148" s="117"/>
      <c r="E148" s="117"/>
      <c r="F148" s="117"/>
      <c r="G148" s="117"/>
      <c r="H148" s="117"/>
      <c r="I148" s="117"/>
      <c r="J148" s="117"/>
      <c r="K148" s="117"/>
      <c r="L148" s="117"/>
      <c r="M148" s="117"/>
      <c r="N148" s="117"/>
      <c r="O148" s="117"/>
      <c r="P148" s="117"/>
      <c r="Q148" s="117"/>
      <c r="R148" s="117"/>
      <c r="S148" s="117"/>
      <c r="T148" s="117"/>
      <c r="U148" s="117"/>
      <c r="V148" s="122"/>
      <c r="W148" s="122"/>
    </row>
    <row r="149" spans="2:23" ht="13.5" customHeight="1" x14ac:dyDescent="0.2">
      <c r="B149" s="117"/>
      <c r="C149" s="117"/>
      <c r="D149" s="117"/>
      <c r="E149" s="117"/>
      <c r="F149" s="117"/>
      <c r="G149" s="117"/>
      <c r="H149" s="117"/>
      <c r="I149" s="117"/>
      <c r="J149" s="117"/>
      <c r="K149" s="117"/>
      <c r="L149" s="117"/>
      <c r="M149" s="117"/>
      <c r="N149" s="117"/>
      <c r="O149" s="117"/>
      <c r="P149" s="117"/>
      <c r="Q149" s="117"/>
      <c r="R149" s="117"/>
      <c r="S149" s="117"/>
      <c r="T149" s="117"/>
      <c r="U149" s="117"/>
      <c r="V149" s="122"/>
      <c r="W149" s="122"/>
    </row>
    <row r="150" spans="2:23" ht="13.5" customHeight="1" x14ac:dyDescent="0.2">
      <c r="B150" s="117"/>
      <c r="C150" s="117"/>
      <c r="D150" s="117"/>
      <c r="E150" s="117"/>
      <c r="F150" s="117"/>
      <c r="G150" s="117"/>
      <c r="H150" s="117"/>
      <c r="I150" s="117"/>
      <c r="J150" s="117"/>
      <c r="K150" s="117"/>
      <c r="L150" s="117"/>
      <c r="M150" s="117"/>
      <c r="N150" s="117"/>
      <c r="O150" s="117"/>
      <c r="P150" s="117"/>
      <c r="Q150" s="117"/>
      <c r="R150" s="117"/>
      <c r="S150" s="117"/>
      <c r="T150" s="117"/>
      <c r="U150" s="117"/>
      <c r="V150" s="122"/>
      <c r="W150" s="122"/>
    </row>
    <row r="151" spans="2:23" ht="13.5" customHeight="1" x14ac:dyDescent="0.2">
      <c r="B151" s="117"/>
      <c r="C151" s="117"/>
      <c r="D151" s="117"/>
      <c r="E151" s="117"/>
      <c r="F151" s="117"/>
      <c r="G151" s="117"/>
      <c r="H151" s="117"/>
      <c r="I151" s="117"/>
      <c r="J151" s="117"/>
      <c r="K151" s="117"/>
      <c r="L151" s="117"/>
      <c r="M151" s="117"/>
      <c r="N151" s="117"/>
      <c r="O151" s="117"/>
      <c r="P151" s="117"/>
      <c r="Q151" s="117"/>
      <c r="R151" s="117"/>
      <c r="S151" s="117"/>
      <c r="T151" s="117"/>
      <c r="U151" s="117"/>
      <c r="V151" s="122"/>
      <c r="W151" s="122"/>
    </row>
    <row r="152" spans="2:23" ht="13.5" customHeight="1" x14ac:dyDescent="0.2">
      <c r="B152" s="117"/>
      <c r="C152" s="117"/>
      <c r="D152" s="117"/>
      <c r="E152" s="117"/>
      <c r="F152" s="117"/>
      <c r="G152" s="117"/>
      <c r="H152" s="117"/>
      <c r="I152" s="117"/>
      <c r="J152" s="117"/>
      <c r="K152" s="117"/>
      <c r="L152" s="117"/>
      <c r="M152" s="117"/>
      <c r="N152" s="117"/>
      <c r="O152" s="117"/>
      <c r="P152" s="117"/>
      <c r="Q152" s="117"/>
      <c r="R152" s="117"/>
      <c r="S152" s="117"/>
      <c r="T152" s="117"/>
      <c r="U152" s="117"/>
      <c r="V152" s="122"/>
      <c r="W152" s="122"/>
    </row>
    <row r="153" spans="2:23" ht="13.5" customHeight="1" x14ac:dyDescent="0.2">
      <c r="B153" s="117"/>
      <c r="C153" s="117"/>
      <c r="D153" s="117"/>
      <c r="E153" s="117"/>
      <c r="F153" s="117"/>
      <c r="G153" s="117"/>
      <c r="H153" s="117"/>
      <c r="I153" s="117"/>
      <c r="J153" s="117"/>
      <c r="K153" s="117"/>
      <c r="L153" s="117"/>
      <c r="M153" s="117"/>
      <c r="N153" s="117"/>
      <c r="O153" s="117"/>
      <c r="P153" s="117"/>
      <c r="Q153" s="117"/>
      <c r="R153" s="117"/>
      <c r="S153" s="117"/>
      <c r="T153" s="117"/>
      <c r="U153" s="117"/>
      <c r="V153" s="122"/>
      <c r="W153" s="122"/>
    </row>
    <row r="154" spans="2:23" ht="13.5" customHeight="1" x14ac:dyDescent="0.2">
      <c r="B154" s="117"/>
      <c r="C154" s="117"/>
      <c r="D154" s="117"/>
      <c r="E154" s="117"/>
      <c r="F154" s="117"/>
      <c r="G154" s="117"/>
      <c r="H154" s="117"/>
      <c r="I154" s="117"/>
      <c r="J154" s="117"/>
      <c r="K154" s="117"/>
      <c r="L154" s="117"/>
      <c r="M154" s="117"/>
      <c r="N154" s="117"/>
      <c r="O154" s="117"/>
      <c r="P154" s="117"/>
      <c r="Q154" s="117"/>
      <c r="R154" s="117"/>
      <c r="S154" s="117"/>
      <c r="T154" s="117"/>
      <c r="U154" s="117"/>
      <c r="V154" s="122"/>
      <c r="W154" s="122"/>
    </row>
    <row r="155" spans="2:23" ht="13.5" customHeight="1" x14ac:dyDescent="0.2">
      <c r="B155" s="117"/>
      <c r="C155" s="117"/>
      <c r="D155" s="117"/>
      <c r="E155" s="117"/>
      <c r="F155" s="117"/>
      <c r="G155" s="117"/>
      <c r="H155" s="117"/>
      <c r="I155" s="117"/>
      <c r="J155" s="117"/>
      <c r="K155" s="117"/>
      <c r="L155" s="117"/>
      <c r="M155" s="117"/>
      <c r="N155" s="117"/>
      <c r="O155" s="117"/>
      <c r="P155" s="117"/>
      <c r="Q155" s="117"/>
      <c r="R155" s="117"/>
      <c r="S155" s="117"/>
      <c r="T155" s="117"/>
      <c r="U155" s="117"/>
      <c r="V155" s="122"/>
      <c r="W155" s="122"/>
    </row>
    <row r="156" spans="2:23" ht="13.5" customHeight="1" x14ac:dyDescent="0.2">
      <c r="B156" s="117"/>
      <c r="C156" s="117"/>
      <c r="D156" s="117"/>
      <c r="E156" s="117"/>
      <c r="F156" s="117"/>
      <c r="G156" s="117"/>
      <c r="H156" s="117"/>
      <c r="I156" s="117"/>
      <c r="J156" s="117"/>
      <c r="K156" s="117"/>
      <c r="L156" s="117"/>
      <c r="M156" s="117"/>
      <c r="N156" s="117"/>
      <c r="O156" s="117"/>
      <c r="P156" s="117"/>
      <c r="Q156" s="117"/>
      <c r="R156" s="117"/>
      <c r="S156" s="117"/>
      <c r="T156" s="117"/>
      <c r="U156" s="117"/>
      <c r="V156" s="122"/>
      <c r="W156" s="122"/>
    </row>
    <row r="157" spans="2:23" ht="13.5" customHeight="1" x14ac:dyDescent="0.2">
      <c r="B157" s="117"/>
      <c r="C157" s="117"/>
      <c r="D157" s="117"/>
      <c r="E157" s="117"/>
      <c r="F157" s="117"/>
      <c r="G157" s="117"/>
      <c r="H157" s="117"/>
      <c r="I157" s="117"/>
      <c r="J157" s="117"/>
      <c r="K157" s="117"/>
      <c r="L157" s="117"/>
      <c r="M157" s="117"/>
      <c r="N157" s="117"/>
      <c r="O157" s="117"/>
      <c r="P157" s="117"/>
      <c r="Q157" s="117"/>
      <c r="R157" s="117"/>
      <c r="S157" s="117"/>
      <c r="T157" s="117"/>
      <c r="U157" s="117"/>
      <c r="V157" s="122"/>
      <c r="W157" s="122"/>
    </row>
    <row r="158" spans="2:23" ht="13.5" customHeight="1" x14ac:dyDescent="0.2">
      <c r="B158" s="117"/>
      <c r="C158" s="117"/>
      <c r="D158" s="117"/>
      <c r="E158" s="117"/>
      <c r="F158" s="117"/>
      <c r="G158" s="117"/>
      <c r="H158" s="117"/>
      <c r="I158" s="117"/>
      <c r="J158" s="117"/>
      <c r="K158" s="117"/>
      <c r="L158" s="117"/>
      <c r="M158" s="117"/>
      <c r="N158" s="117"/>
      <c r="O158" s="117"/>
      <c r="P158" s="117"/>
      <c r="Q158" s="117"/>
      <c r="R158" s="117"/>
      <c r="S158" s="117"/>
      <c r="T158" s="117"/>
      <c r="U158" s="117"/>
      <c r="V158" s="122"/>
      <c r="W158" s="122"/>
    </row>
    <row r="159" spans="2:23" ht="13.5" customHeight="1" x14ac:dyDescent="0.2">
      <c r="B159" s="118"/>
      <c r="C159" s="118"/>
      <c r="D159" s="118"/>
      <c r="E159" s="118"/>
      <c r="F159" s="118"/>
      <c r="G159" s="118"/>
      <c r="H159" s="118"/>
      <c r="I159" s="118"/>
      <c r="J159" s="118"/>
      <c r="K159" s="118"/>
      <c r="L159" s="118"/>
      <c r="M159" s="118"/>
      <c r="N159" s="118"/>
      <c r="O159" s="118"/>
      <c r="P159" s="118"/>
      <c r="Q159" s="118"/>
      <c r="R159" s="118"/>
      <c r="S159" s="118"/>
      <c r="T159" s="118"/>
      <c r="U159" s="118"/>
      <c r="V159" s="118"/>
      <c r="W159" s="118"/>
    </row>
    <row r="160" spans="2:23" ht="13.5" customHeight="1" x14ac:dyDescent="0.2"/>
    <row r="161" spans="2:1269" s="118" customFormat="1" ht="13.5" customHeight="1" x14ac:dyDescent="0.2">
      <c r="B161" s="307"/>
      <c r="C161" s="307"/>
      <c r="D161" s="307"/>
      <c r="E161" s="307"/>
      <c r="F161" s="307"/>
      <c r="G161" s="307"/>
      <c r="H161" s="307"/>
      <c r="I161" s="307"/>
      <c r="J161" s="307"/>
      <c r="K161" s="307"/>
      <c r="L161" s="307"/>
      <c r="M161" s="307"/>
      <c r="N161" s="307"/>
      <c r="O161" s="307"/>
      <c r="P161" s="307"/>
      <c r="Q161" s="307"/>
      <c r="R161" s="307"/>
      <c r="S161" s="307"/>
      <c r="T161" s="307"/>
      <c r="U161" s="307"/>
      <c r="V161" s="307"/>
      <c r="W161" s="307"/>
      <c r="X161" s="307"/>
      <c r="Y161" s="307"/>
      <c r="Z161" s="307"/>
      <c r="AA161" s="307"/>
      <c r="AB161" s="307"/>
      <c r="AC161" s="307"/>
      <c r="AD161" s="307"/>
      <c r="AE161" s="307"/>
      <c r="AF161" s="307"/>
      <c r="AG161" s="307"/>
      <c r="AH161" s="307"/>
      <c r="AI161" s="307"/>
      <c r="AJ161" s="307"/>
      <c r="AK161" s="307"/>
      <c r="AL161" s="307"/>
      <c r="AM161" s="307"/>
      <c r="AN161" s="307"/>
      <c r="AO161" s="307"/>
      <c r="AP161" s="307"/>
      <c r="AQ161" s="307"/>
      <c r="AR161" s="307"/>
      <c r="AS161" s="307"/>
      <c r="AT161" s="307"/>
      <c r="AU161" s="307"/>
      <c r="AV161" s="307"/>
      <c r="AW161" s="307"/>
      <c r="AX161" s="307"/>
      <c r="AY161" s="307"/>
      <c r="AZ161" s="307"/>
      <c r="BA161" s="307"/>
      <c r="BB161" s="307"/>
      <c r="BC161" s="307"/>
      <c r="BD161" s="307"/>
      <c r="BE161" s="307"/>
      <c r="BF161" s="307"/>
      <c r="BG161" s="307"/>
      <c r="BH161" s="307"/>
      <c r="BI161" s="307"/>
      <c r="BJ161" s="307"/>
      <c r="BK161" s="307"/>
      <c r="BL161" s="307"/>
      <c r="BM161" s="307"/>
      <c r="BN161" s="307"/>
      <c r="BO161" s="307"/>
      <c r="BP161" s="307"/>
      <c r="BQ161" s="307"/>
      <c r="BR161" s="307"/>
      <c r="BS161" s="307"/>
      <c r="BT161" s="307"/>
      <c r="BU161" s="307"/>
      <c r="BV161" s="307"/>
      <c r="BW161" s="307"/>
      <c r="BX161" s="307"/>
      <c r="BY161" s="307"/>
      <c r="BZ161" s="307"/>
      <c r="CA161" s="307"/>
      <c r="CB161" s="307"/>
      <c r="CC161" s="307"/>
      <c r="CD161" s="307"/>
      <c r="CE161" s="307"/>
      <c r="CF161" s="307"/>
      <c r="CG161" s="307"/>
      <c r="CH161" s="307"/>
      <c r="CI161" s="307"/>
      <c r="CJ161" s="307"/>
      <c r="CK161" s="307"/>
      <c r="CL161" s="307"/>
      <c r="CM161" s="307"/>
      <c r="CN161" s="307"/>
      <c r="CO161" s="307"/>
      <c r="CP161" s="307"/>
      <c r="CQ161" s="307"/>
      <c r="CR161" s="307"/>
      <c r="CS161" s="307"/>
      <c r="CT161" s="307"/>
      <c r="CU161" s="307"/>
      <c r="CV161" s="307"/>
      <c r="CW161" s="307"/>
      <c r="CX161" s="307"/>
      <c r="CY161" s="307"/>
      <c r="CZ161" s="307"/>
      <c r="DA161" s="307"/>
      <c r="DB161" s="307"/>
      <c r="DC161" s="307"/>
      <c r="DD161" s="307"/>
      <c r="DE161" s="307"/>
      <c r="DF161" s="307"/>
      <c r="DG161" s="307"/>
      <c r="DH161" s="307"/>
      <c r="DI161" s="307"/>
      <c r="DJ161" s="307"/>
      <c r="DK161" s="307"/>
      <c r="DL161" s="307"/>
      <c r="DM161" s="307"/>
      <c r="DN161" s="307"/>
      <c r="DO161" s="307"/>
      <c r="DP161" s="307"/>
      <c r="DQ161" s="307"/>
      <c r="DR161" s="307"/>
      <c r="DS161" s="307"/>
      <c r="DT161" s="307"/>
      <c r="DU161" s="307"/>
      <c r="DV161" s="307"/>
      <c r="DW161" s="307"/>
      <c r="DX161" s="307"/>
      <c r="DY161" s="307"/>
      <c r="DZ161" s="307"/>
      <c r="EA161" s="307"/>
      <c r="EB161" s="307"/>
      <c r="EC161" s="307"/>
      <c r="ED161" s="307"/>
      <c r="EE161" s="307"/>
      <c r="EF161" s="307"/>
      <c r="EG161" s="307"/>
      <c r="EH161" s="307"/>
      <c r="EI161" s="307"/>
      <c r="EJ161" s="307"/>
      <c r="EK161" s="307"/>
      <c r="EL161" s="307"/>
      <c r="EM161" s="307"/>
      <c r="EN161" s="307"/>
      <c r="EO161" s="307"/>
      <c r="EP161" s="307"/>
      <c r="EQ161" s="307"/>
      <c r="ER161" s="307"/>
      <c r="ES161" s="307"/>
      <c r="ET161" s="307"/>
      <c r="EU161" s="307"/>
      <c r="EV161" s="307"/>
      <c r="EW161" s="307"/>
      <c r="EX161" s="307"/>
      <c r="EY161" s="307"/>
      <c r="EZ161" s="307"/>
      <c r="FA161" s="307"/>
      <c r="FB161" s="307"/>
      <c r="FC161" s="307"/>
      <c r="FD161" s="307"/>
      <c r="FE161" s="307"/>
      <c r="FF161" s="307"/>
      <c r="FG161" s="307"/>
      <c r="FH161" s="307"/>
      <c r="FI161" s="307"/>
      <c r="FJ161" s="307"/>
      <c r="FK161" s="307"/>
      <c r="FL161" s="307"/>
      <c r="FM161" s="307"/>
      <c r="FN161" s="307"/>
      <c r="FO161" s="307"/>
      <c r="FP161" s="307"/>
      <c r="FQ161" s="307"/>
      <c r="FR161" s="307"/>
      <c r="FS161" s="307"/>
      <c r="FT161" s="307"/>
      <c r="FU161" s="307"/>
      <c r="FV161" s="307"/>
      <c r="FW161" s="307"/>
      <c r="FX161" s="307"/>
      <c r="FY161" s="307"/>
      <c r="FZ161" s="307"/>
      <c r="GA161" s="307"/>
      <c r="GB161" s="307"/>
      <c r="GC161" s="307"/>
      <c r="GD161" s="307"/>
      <c r="GE161" s="307"/>
      <c r="GF161" s="307"/>
      <c r="GG161" s="307"/>
      <c r="GH161" s="307"/>
      <c r="GI161" s="307"/>
      <c r="GJ161" s="307"/>
      <c r="GK161" s="307"/>
      <c r="GL161" s="307"/>
      <c r="GM161" s="307"/>
      <c r="GN161" s="307"/>
      <c r="GO161" s="307"/>
      <c r="GP161" s="307"/>
      <c r="GQ161" s="307"/>
      <c r="GR161" s="307"/>
      <c r="GS161" s="307"/>
      <c r="GT161" s="307"/>
      <c r="GU161" s="307"/>
      <c r="GV161" s="307"/>
      <c r="GW161" s="307"/>
      <c r="GX161" s="307"/>
      <c r="GY161" s="307"/>
      <c r="GZ161" s="307"/>
      <c r="HA161" s="307"/>
      <c r="HB161" s="307"/>
      <c r="HC161" s="307"/>
      <c r="HD161" s="307"/>
      <c r="HE161" s="307"/>
      <c r="HF161" s="307"/>
      <c r="HG161" s="307"/>
      <c r="HH161" s="307"/>
      <c r="HI161" s="307"/>
      <c r="HJ161" s="307"/>
      <c r="HK161" s="307"/>
      <c r="HL161" s="307"/>
      <c r="HM161" s="307"/>
      <c r="HN161" s="307"/>
      <c r="HO161" s="307"/>
      <c r="HP161" s="307"/>
      <c r="HQ161" s="307"/>
      <c r="HR161" s="307"/>
      <c r="HS161" s="307"/>
      <c r="HT161" s="307"/>
      <c r="HU161" s="307"/>
      <c r="HV161" s="307"/>
      <c r="HW161" s="307"/>
      <c r="HX161" s="307"/>
      <c r="HY161" s="307"/>
      <c r="HZ161" s="307"/>
      <c r="IA161" s="307"/>
      <c r="IB161" s="307"/>
      <c r="IC161" s="307"/>
      <c r="ID161" s="307"/>
      <c r="IE161" s="307"/>
      <c r="IF161" s="307"/>
      <c r="IG161" s="307"/>
      <c r="IH161" s="307"/>
      <c r="II161" s="307"/>
      <c r="IJ161" s="307"/>
      <c r="IK161" s="307"/>
      <c r="IL161" s="307"/>
      <c r="IM161" s="307"/>
      <c r="IN161" s="307"/>
      <c r="IO161" s="307"/>
      <c r="IP161" s="307"/>
      <c r="IQ161" s="307"/>
      <c r="IR161" s="307"/>
      <c r="IS161" s="307"/>
      <c r="IT161" s="307"/>
      <c r="IU161" s="307"/>
      <c r="IV161" s="307"/>
      <c r="IW161" s="307"/>
      <c r="IX161" s="307"/>
      <c r="IY161" s="307"/>
      <c r="IZ161" s="307"/>
      <c r="JA161" s="307"/>
      <c r="JB161" s="307"/>
      <c r="JC161" s="307"/>
      <c r="JD161" s="307"/>
      <c r="JE161" s="307"/>
      <c r="JF161" s="307"/>
      <c r="JG161" s="307"/>
      <c r="JH161" s="307"/>
      <c r="JI161" s="307"/>
      <c r="JJ161" s="307"/>
      <c r="JK161" s="307"/>
      <c r="JL161" s="307"/>
      <c r="JM161" s="307"/>
      <c r="JN161" s="307"/>
      <c r="JO161" s="307"/>
      <c r="JP161" s="307"/>
      <c r="JQ161" s="307"/>
      <c r="JR161" s="307"/>
      <c r="JS161" s="307"/>
      <c r="JT161" s="307"/>
      <c r="JU161" s="307"/>
      <c r="JV161" s="307"/>
      <c r="JW161" s="307"/>
      <c r="JX161" s="307"/>
      <c r="JY161" s="307"/>
      <c r="JZ161" s="307"/>
      <c r="KA161" s="307"/>
      <c r="KB161" s="307"/>
      <c r="KC161" s="307"/>
      <c r="KD161" s="307"/>
      <c r="KE161" s="307"/>
      <c r="KF161" s="307"/>
      <c r="KG161" s="307"/>
      <c r="KH161" s="307"/>
      <c r="KI161" s="307"/>
      <c r="KJ161" s="307"/>
      <c r="KK161" s="307"/>
      <c r="KL161" s="307"/>
      <c r="KM161" s="307"/>
      <c r="KN161" s="307"/>
      <c r="KO161" s="307"/>
      <c r="KP161" s="307"/>
      <c r="KQ161" s="307"/>
      <c r="KR161" s="307"/>
      <c r="KS161" s="307"/>
      <c r="KT161" s="307"/>
      <c r="KU161" s="307"/>
      <c r="KV161" s="307"/>
      <c r="KW161" s="307"/>
      <c r="KX161" s="307"/>
      <c r="KY161" s="307"/>
      <c r="KZ161" s="307"/>
      <c r="LA161" s="307"/>
      <c r="LB161" s="307"/>
      <c r="LC161" s="307"/>
      <c r="LD161" s="307"/>
      <c r="LE161" s="307"/>
      <c r="LF161" s="307"/>
      <c r="LG161" s="307"/>
      <c r="LH161" s="307"/>
      <c r="LI161" s="307"/>
      <c r="LJ161" s="307"/>
      <c r="LK161" s="307"/>
      <c r="LL161" s="307"/>
      <c r="LM161" s="307"/>
      <c r="LN161" s="307"/>
      <c r="LO161" s="307"/>
      <c r="LP161" s="307"/>
      <c r="LQ161" s="307"/>
      <c r="LR161" s="307"/>
      <c r="LS161" s="307"/>
      <c r="LT161" s="307"/>
      <c r="LU161" s="307"/>
      <c r="LV161" s="307"/>
      <c r="LW161" s="307"/>
      <c r="LX161" s="307"/>
      <c r="LY161" s="307"/>
      <c r="LZ161" s="307"/>
      <c r="MA161" s="307"/>
      <c r="MB161" s="307"/>
      <c r="MC161" s="307"/>
      <c r="MD161" s="307"/>
      <c r="ME161" s="307"/>
      <c r="MF161" s="307"/>
      <c r="MG161" s="307"/>
      <c r="MH161" s="307"/>
      <c r="MI161" s="307"/>
      <c r="MJ161" s="307"/>
      <c r="MK161" s="307"/>
      <c r="ML161" s="307"/>
      <c r="MM161" s="307"/>
      <c r="MN161" s="307"/>
      <c r="MO161" s="307"/>
      <c r="MP161" s="307"/>
      <c r="MQ161" s="307"/>
      <c r="MR161" s="307"/>
      <c r="MS161" s="307"/>
      <c r="MT161" s="307"/>
      <c r="MU161" s="307"/>
      <c r="MV161" s="307"/>
      <c r="MW161" s="307"/>
      <c r="MX161" s="307"/>
      <c r="MY161" s="307"/>
      <c r="MZ161" s="307"/>
      <c r="NA161" s="307"/>
      <c r="NB161" s="307"/>
      <c r="NC161" s="307"/>
      <c r="ND161" s="307"/>
      <c r="NE161" s="307"/>
      <c r="NF161" s="307"/>
      <c r="NG161" s="307"/>
      <c r="NH161" s="307"/>
      <c r="NI161" s="307"/>
      <c r="NJ161" s="307"/>
      <c r="NK161" s="307"/>
      <c r="NL161" s="307"/>
      <c r="NM161" s="307"/>
      <c r="NN161" s="307"/>
      <c r="NO161" s="307"/>
      <c r="NP161" s="307"/>
      <c r="NQ161" s="307"/>
      <c r="NR161" s="307"/>
      <c r="NS161" s="307"/>
      <c r="NT161" s="307"/>
      <c r="NU161" s="307"/>
      <c r="NV161" s="307"/>
      <c r="NW161" s="307"/>
      <c r="NX161" s="307"/>
      <c r="NY161" s="307"/>
      <c r="NZ161" s="307"/>
      <c r="OA161" s="307"/>
      <c r="OB161" s="307"/>
      <c r="OC161" s="307"/>
      <c r="OD161" s="307"/>
      <c r="OE161" s="307"/>
      <c r="OF161" s="307"/>
      <c r="OG161" s="307"/>
      <c r="OH161" s="307"/>
      <c r="OI161" s="307"/>
      <c r="OJ161" s="307"/>
      <c r="OK161" s="307"/>
      <c r="OL161" s="307"/>
      <c r="OM161" s="307"/>
      <c r="ON161" s="307"/>
      <c r="OO161" s="307"/>
      <c r="OP161" s="307"/>
      <c r="OQ161" s="307"/>
      <c r="OR161" s="307"/>
      <c r="OS161" s="307"/>
      <c r="OT161" s="307"/>
      <c r="OU161" s="307"/>
      <c r="OV161" s="307"/>
      <c r="OW161" s="307"/>
      <c r="OX161" s="307"/>
      <c r="OY161" s="307"/>
      <c r="OZ161" s="307"/>
      <c r="PA161" s="307"/>
      <c r="PB161" s="307"/>
      <c r="PC161" s="307"/>
      <c r="PD161" s="307"/>
      <c r="PE161" s="307"/>
      <c r="PF161" s="307"/>
      <c r="PG161" s="307"/>
      <c r="PH161" s="307"/>
      <c r="PI161" s="307"/>
      <c r="PJ161" s="307"/>
      <c r="PK161" s="307"/>
      <c r="PL161" s="307"/>
      <c r="PM161" s="307"/>
      <c r="PN161" s="307"/>
      <c r="PO161" s="307"/>
      <c r="PP161" s="307"/>
      <c r="PQ161" s="307"/>
      <c r="PR161" s="307"/>
      <c r="PS161" s="307"/>
      <c r="PT161" s="307"/>
      <c r="PU161" s="307"/>
      <c r="PV161" s="307"/>
      <c r="PW161" s="307"/>
      <c r="PX161" s="307"/>
      <c r="PY161" s="307"/>
      <c r="PZ161" s="307"/>
      <c r="QA161" s="307"/>
      <c r="QB161" s="307"/>
      <c r="QC161" s="307"/>
      <c r="QD161" s="307"/>
      <c r="QE161" s="307"/>
      <c r="QF161" s="307"/>
      <c r="QG161" s="307"/>
      <c r="QH161" s="307"/>
      <c r="QI161" s="307"/>
      <c r="QJ161" s="307"/>
      <c r="QK161" s="307"/>
      <c r="QL161" s="307"/>
      <c r="QM161" s="307"/>
      <c r="QN161" s="307"/>
      <c r="QO161" s="307"/>
      <c r="QP161" s="307"/>
      <c r="QQ161" s="307"/>
      <c r="QR161" s="307"/>
      <c r="QS161" s="307"/>
      <c r="QT161" s="307"/>
      <c r="QU161" s="307"/>
      <c r="QV161" s="307"/>
      <c r="QW161" s="307"/>
      <c r="QX161" s="307"/>
      <c r="QY161" s="307"/>
      <c r="QZ161" s="307"/>
      <c r="RA161" s="307"/>
      <c r="RB161" s="307"/>
      <c r="RC161" s="307"/>
      <c r="RD161" s="307"/>
      <c r="RE161" s="307"/>
      <c r="RF161" s="307"/>
      <c r="RG161" s="307"/>
      <c r="RH161" s="307"/>
      <c r="RI161" s="307"/>
      <c r="RJ161" s="307"/>
      <c r="RK161" s="307"/>
      <c r="RL161" s="307"/>
      <c r="RM161" s="307"/>
      <c r="RN161" s="307"/>
      <c r="RO161" s="307"/>
      <c r="RP161" s="307"/>
      <c r="RQ161" s="307"/>
      <c r="RR161" s="307"/>
      <c r="RS161" s="307"/>
      <c r="RT161" s="307"/>
      <c r="RU161" s="307"/>
      <c r="RV161" s="307"/>
      <c r="RW161" s="307"/>
      <c r="RX161" s="307"/>
      <c r="RY161" s="307"/>
      <c r="RZ161" s="307"/>
      <c r="SA161" s="307"/>
      <c r="SB161" s="307"/>
      <c r="SC161" s="307"/>
      <c r="SD161" s="307"/>
      <c r="SE161" s="307"/>
      <c r="SF161" s="307"/>
      <c r="SG161" s="307"/>
      <c r="SH161" s="307"/>
      <c r="SI161" s="307"/>
      <c r="SJ161" s="307"/>
      <c r="SK161" s="307"/>
      <c r="SL161" s="307"/>
      <c r="SM161" s="307"/>
      <c r="SN161" s="307"/>
      <c r="SO161" s="307"/>
      <c r="SP161" s="307"/>
      <c r="SQ161" s="307"/>
      <c r="SR161" s="307"/>
      <c r="SS161" s="307"/>
      <c r="ST161" s="307"/>
      <c r="SU161" s="307"/>
      <c r="SV161" s="307"/>
      <c r="SW161" s="307"/>
      <c r="SX161" s="307"/>
      <c r="SY161" s="307"/>
      <c r="SZ161" s="307"/>
      <c r="TA161" s="307"/>
      <c r="TB161" s="307"/>
      <c r="TC161" s="307"/>
      <c r="TD161" s="307"/>
      <c r="TE161" s="307"/>
      <c r="TF161" s="307"/>
      <c r="TG161" s="307"/>
      <c r="TH161" s="307"/>
      <c r="TI161" s="307"/>
      <c r="TJ161" s="307"/>
      <c r="TK161" s="307"/>
      <c r="TL161" s="307"/>
      <c r="TM161" s="307"/>
      <c r="TN161" s="307"/>
      <c r="TO161" s="307"/>
      <c r="TP161" s="307"/>
      <c r="TQ161" s="307"/>
      <c r="TR161" s="307"/>
      <c r="TS161" s="307"/>
      <c r="TT161" s="307"/>
      <c r="TU161" s="307"/>
      <c r="TV161" s="307"/>
      <c r="TW161" s="307"/>
      <c r="TX161" s="307"/>
      <c r="TY161" s="307"/>
      <c r="TZ161" s="307"/>
      <c r="UA161" s="307"/>
      <c r="UB161" s="307"/>
      <c r="UC161" s="307"/>
      <c r="UD161" s="307"/>
      <c r="UE161" s="307"/>
      <c r="UF161" s="307"/>
      <c r="UG161" s="307"/>
      <c r="UH161" s="307"/>
      <c r="UI161" s="307"/>
      <c r="UJ161" s="307"/>
      <c r="UK161" s="307"/>
      <c r="UL161" s="307"/>
      <c r="UM161" s="307"/>
      <c r="UN161" s="307"/>
      <c r="UO161" s="307"/>
      <c r="UP161" s="307"/>
      <c r="UQ161" s="307"/>
      <c r="UR161" s="307"/>
      <c r="US161" s="307"/>
      <c r="UT161" s="307"/>
      <c r="UU161" s="307"/>
      <c r="UV161" s="307"/>
      <c r="UW161" s="307"/>
      <c r="UX161" s="307"/>
      <c r="UY161" s="307"/>
      <c r="UZ161" s="307"/>
      <c r="VA161" s="307"/>
      <c r="VB161" s="307"/>
      <c r="VC161" s="307"/>
      <c r="VD161" s="307"/>
      <c r="VE161" s="307"/>
      <c r="VF161" s="307"/>
      <c r="VG161" s="307"/>
      <c r="VH161" s="307"/>
      <c r="VI161" s="307"/>
      <c r="VJ161" s="307"/>
      <c r="VK161" s="307"/>
      <c r="VL161" s="307"/>
      <c r="VM161" s="307"/>
      <c r="VN161" s="307"/>
      <c r="VO161" s="307"/>
      <c r="VP161" s="307"/>
      <c r="VQ161" s="307"/>
      <c r="VR161" s="307"/>
      <c r="VS161" s="307"/>
      <c r="VT161" s="307"/>
      <c r="VU161" s="307"/>
      <c r="VV161" s="307"/>
      <c r="VW161" s="307"/>
      <c r="VX161" s="307"/>
      <c r="VY161" s="307"/>
      <c r="VZ161" s="307"/>
      <c r="WA161" s="307"/>
      <c r="WB161" s="307"/>
      <c r="WC161" s="307"/>
      <c r="WD161" s="307"/>
      <c r="WE161" s="307"/>
      <c r="WF161" s="307"/>
      <c r="WG161" s="307"/>
      <c r="WH161" s="307"/>
      <c r="WI161" s="307"/>
      <c r="WJ161" s="307"/>
      <c r="WK161" s="307"/>
      <c r="WL161" s="307"/>
      <c r="WM161" s="307"/>
      <c r="WN161" s="307"/>
      <c r="WO161" s="307"/>
      <c r="WP161" s="307"/>
      <c r="WQ161" s="307"/>
      <c r="WR161" s="307"/>
      <c r="WS161" s="307"/>
      <c r="WT161" s="307"/>
      <c r="WU161" s="307"/>
      <c r="WV161" s="307"/>
      <c r="WW161" s="307"/>
      <c r="WX161" s="307"/>
      <c r="WY161" s="307"/>
      <c r="WZ161" s="307"/>
      <c r="XA161" s="307"/>
      <c r="XB161" s="307"/>
      <c r="XC161" s="307"/>
      <c r="XD161" s="307"/>
      <c r="XE161" s="307"/>
      <c r="XF161" s="307"/>
      <c r="XG161" s="307"/>
      <c r="XH161" s="307"/>
      <c r="XI161" s="307"/>
      <c r="XJ161" s="307"/>
      <c r="XK161" s="307"/>
      <c r="XL161" s="307"/>
      <c r="XM161" s="307"/>
      <c r="XN161" s="307"/>
      <c r="XO161" s="307"/>
      <c r="XP161" s="307"/>
      <c r="XQ161" s="307"/>
      <c r="XR161" s="307"/>
      <c r="XS161" s="307"/>
      <c r="XT161" s="307"/>
      <c r="XU161" s="307"/>
      <c r="XV161" s="307"/>
      <c r="XW161" s="307"/>
      <c r="XX161" s="307"/>
      <c r="XY161" s="307"/>
      <c r="XZ161" s="307"/>
      <c r="YA161" s="307"/>
      <c r="YB161" s="307"/>
      <c r="YC161" s="307"/>
      <c r="YD161" s="307"/>
      <c r="YE161" s="307"/>
      <c r="YF161" s="307"/>
      <c r="YG161" s="307"/>
      <c r="YH161" s="307"/>
      <c r="YI161" s="307"/>
      <c r="YJ161" s="307"/>
      <c r="YK161" s="307"/>
      <c r="YL161" s="307"/>
      <c r="YM161" s="307"/>
      <c r="YN161" s="307"/>
      <c r="YO161" s="307"/>
      <c r="YP161" s="307"/>
      <c r="YQ161" s="307"/>
      <c r="YR161" s="307"/>
      <c r="YS161" s="307"/>
      <c r="YT161" s="307"/>
      <c r="YU161" s="307"/>
      <c r="YV161" s="307"/>
      <c r="YW161" s="307"/>
      <c r="YX161" s="307"/>
      <c r="YY161" s="307"/>
      <c r="YZ161" s="307"/>
      <c r="ZA161" s="307"/>
      <c r="ZB161" s="307"/>
      <c r="ZC161" s="307"/>
      <c r="ZD161" s="307"/>
      <c r="ZE161" s="307"/>
      <c r="ZF161" s="307"/>
      <c r="ZG161" s="307"/>
      <c r="ZH161" s="307"/>
      <c r="ZI161" s="307"/>
      <c r="ZJ161" s="307"/>
      <c r="ZK161" s="307"/>
      <c r="ZL161" s="307"/>
      <c r="ZM161" s="307"/>
      <c r="ZN161" s="307"/>
      <c r="ZO161" s="307"/>
      <c r="ZP161" s="307"/>
      <c r="ZQ161" s="307"/>
      <c r="ZR161" s="307"/>
      <c r="ZS161" s="307"/>
      <c r="ZT161" s="307"/>
      <c r="ZU161" s="307"/>
      <c r="ZV161" s="307"/>
      <c r="ZW161" s="307"/>
      <c r="ZX161" s="307"/>
      <c r="ZY161" s="307"/>
      <c r="ZZ161" s="307"/>
      <c r="AAA161" s="307"/>
      <c r="AAB161" s="307"/>
      <c r="AAC161" s="307"/>
      <c r="AAD161" s="307"/>
      <c r="AAE161" s="307"/>
      <c r="AAF161" s="307"/>
      <c r="AAG161" s="307"/>
      <c r="AAH161" s="307"/>
      <c r="AAI161" s="307"/>
      <c r="AAJ161" s="307"/>
      <c r="AAK161" s="307"/>
      <c r="AAL161" s="307"/>
      <c r="AAM161" s="307"/>
      <c r="AAN161" s="307"/>
      <c r="AAO161" s="307"/>
      <c r="AAP161" s="307"/>
      <c r="AAQ161" s="307"/>
      <c r="AAR161" s="307"/>
      <c r="AAS161" s="307"/>
      <c r="AAT161" s="307"/>
      <c r="AAU161" s="307"/>
      <c r="AAV161" s="307"/>
      <c r="AAW161" s="307"/>
      <c r="AAX161" s="307"/>
      <c r="AAY161" s="307"/>
      <c r="AAZ161" s="307"/>
      <c r="ABA161" s="307"/>
      <c r="ABB161" s="307"/>
      <c r="ABC161" s="307"/>
      <c r="ABD161" s="307"/>
      <c r="ABE161" s="307"/>
      <c r="ABF161" s="307"/>
      <c r="ABG161" s="307"/>
      <c r="ABH161" s="307"/>
      <c r="ABI161" s="307"/>
      <c r="ABJ161" s="307"/>
      <c r="ABK161" s="307"/>
      <c r="ABL161" s="307"/>
      <c r="ABM161" s="307"/>
      <c r="ABN161" s="307"/>
      <c r="ABO161" s="307"/>
      <c r="ABP161" s="307"/>
      <c r="ABQ161" s="307"/>
      <c r="ABR161" s="307"/>
      <c r="ABS161" s="307"/>
      <c r="ABT161" s="307"/>
      <c r="ABU161" s="307"/>
      <c r="ABV161" s="307"/>
      <c r="ABW161" s="307"/>
      <c r="ABX161" s="307"/>
      <c r="ABY161" s="307"/>
      <c r="ABZ161" s="307"/>
      <c r="ACA161" s="307"/>
      <c r="ACB161" s="307"/>
      <c r="ACC161" s="307"/>
      <c r="ACD161" s="307"/>
      <c r="ACE161" s="307"/>
      <c r="ACF161" s="307"/>
      <c r="ACG161" s="307"/>
      <c r="ACH161" s="307"/>
      <c r="ACI161" s="307"/>
      <c r="ACJ161" s="307"/>
      <c r="ACK161" s="307"/>
      <c r="ACL161" s="307"/>
      <c r="ACM161" s="307"/>
      <c r="ACN161" s="307"/>
      <c r="ACO161" s="307"/>
      <c r="ACP161" s="307"/>
      <c r="ACQ161" s="307"/>
      <c r="ACR161" s="307"/>
      <c r="ACS161" s="307"/>
      <c r="ACT161" s="307"/>
      <c r="ACU161" s="307"/>
      <c r="ACV161" s="307"/>
      <c r="ACW161" s="307"/>
      <c r="ACX161" s="307"/>
      <c r="ACY161" s="307"/>
      <c r="ACZ161" s="307"/>
      <c r="ADA161" s="307"/>
      <c r="ADB161" s="307"/>
      <c r="ADC161" s="307"/>
      <c r="ADD161" s="307"/>
      <c r="ADE161" s="307"/>
      <c r="ADF161" s="307"/>
      <c r="ADG161" s="307"/>
      <c r="ADH161" s="307"/>
      <c r="ADI161" s="307"/>
      <c r="ADJ161" s="307"/>
      <c r="ADK161" s="307"/>
      <c r="ADL161" s="307"/>
      <c r="ADM161" s="307"/>
      <c r="ADN161" s="307"/>
      <c r="ADO161" s="307"/>
      <c r="ADP161" s="307"/>
      <c r="ADQ161" s="307"/>
      <c r="ADR161" s="307"/>
      <c r="ADS161" s="307"/>
      <c r="ADT161" s="307"/>
      <c r="ADU161" s="307"/>
      <c r="ADV161" s="307"/>
      <c r="ADW161" s="307"/>
      <c r="ADX161" s="307"/>
      <c r="ADY161" s="307"/>
      <c r="ADZ161" s="307"/>
      <c r="AEA161" s="307"/>
      <c r="AEB161" s="307"/>
      <c r="AEC161" s="307"/>
      <c r="AED161" s="307"/>
      <c r="AEE161" s="307"/>
      <c r="AEF161" s="307"/>
      <c r="AEG161" s="307"/>
      <c r="AEH161" s="307"/>
      <c r="AEI161" s="307"/>
      <c r="AEJ161" s="307"/>
      <c r="AEK161" s="307"/>
      <c r="AEL161" s="307"/>
      <c r="AEM161" s="307"/>
      <c r="AEN161" s="307"/>
      <c r="AEO161" s="307"/>
      <c r="AEP161" s="307"/>
      <c r="AEQ161" s="307"/>
      <c r="AER161" s="307"/>
      <c r="AES161" s="307"/>
      <c r="AET161" s="307"/>
      <c r="AEU161" s="307"/>
      <c r="AEV161" s="307"/>
      <c r="AEW161" s="307"/>
      <c r="AEX161" s="307"/>
      <c r="AEY161" s="307"/>
      <c r="AEZ161" s="307"/>
      <c r="AFA161" s="307"/>
      <c r="AFB161" s="307"/>
      <c r="AFC161" s="307"/>
      <c r="AFD161" s="307"/>
      <c r="AFE161" s="307"/>
      <c r="AFF161" s="307"/>
      <c r="AFG161" s="307"/>
      <c r="AFH161" s="307"/>
      <c r="AFI161" s="307"/>
      <c r="AFJ161" s="307"/>
      <c r="AFK161" s="307"/>
      <c r="AFL161" s="307"/>
      <c r="AFM161" s="307"/>
      <c r="AFN161" s="307"/>
      <c r="AFO161" s="307"/>
      <c r="AFP161" s="307"/>
      <c r="AFQ161" s="307"/>
      <c r="AFR161" s="307"/>
      <c r="AFS161" s="307"/>
      <c r="AFT161" s="307"/>
      <c r="AFU161" s="307"/>
      <c r="AFV161" s="307"/>
      <c r="AFW161" s="307"/>
      <c r="AFX161" s="307"/>
      <c r="AFY161" s="307"/>
      <c r="AFZ161" s="307"/>
      <c r="AGA161" s="307"/>
      <c r="AGB161" s="307"/>
      <c r="AGC161" s="307"/>
      <c r="AGD161" s="307"/>
      <c r="AGE161" s="307"/>
      <c r="AGF161" s="307"/>
      <c r="AGG161" s="307"/>
      <c r="AGH161" s="307"/>
      <c r="AGI161" s="307"/>
      <c r="AGJ161" s="307"/>
      <c r="AGK161" s="307"/>
      <c r="AGL161" s="307"/>
      <c r="AGM161" s="307"/>
      <c r="AGN161" s="307"/>
      <c r="AGO161" s="307"/>
      <c r="AGP161" s="307"/>
      <c r="AGQ161" s="307"/>
      <c r="AGR161" s="307"/>
      <c r="AGS161" s="307"/>
      <c r="AGT161" s="307"/>
      <c r="AGU161" s="307"/>
      <c r="AGV161" s="307"/>
      <c r="AGW161" s="307"/>
      <c r="AGX161" s="307"/>
      <c r="AGY161" s="307"/>
      <c r="AGZ161" s="307"/>
      <c r="AHA161" s="307"/>
      <c r="AHB161" s="307"/>
      <c r="AHC161" s="307"/>
      <c r="AHD161" s="307"/>
      <c r="AHE161" s="307"/>
      <c r="AHF161" s="307"/>
      <c r="AHG161" s="307"/>
      <c r="AHH161" s="307"/>
      <c r="AHI161" s="307"/>
      <c r="AHJ161" s="307"/>
      <c r="AHK161" s="307"/>
      <c r="AHL161" s="307"/>
      <c r="AHM161" s="307"/>
      <c r="AHN161" s="307"/>
      <c r="AHO161" s="307"/>
      <c r="AHP161" s="307"/>
      <c r="AHQ161" s="307"/>
      <c r="AHR161" s="307"/>
      <c r="AHS161" s="307"/>
      <c r="AHT161" s="307"/>
      <c r="AHU161" s="307"/>
      <c r="AHV161" s="307"/>
      <c r="AHW161" s="307"/>
      <c r="AHX161" s="307"/>
      <c r="AHY161" s="307"/>
      <c r="AHZ161" s="307"/>
      <c r="AIA161" s="307"/>
      <c r="AIB161" s="307"/>
      <c r="AIC161" s="307"/>
      <c r="AID161" s="307"/>
      <c r="AIE161" s="307"/>
      <c r="AIF161" s="307"/>
      <c r="AIG161" s="307"/>
      <c r="AIH161" s="307"/>
      <c r="AII161" s="307"/>
      <c r="AIJ161" s="307"/>
      <c r="AIK161" s="307"/>
      <c r="AIL161" s="307"/>
      <c r="AIM161" s="307"/>
      <c r="AIN161" s="307"/>
      <c r="AIO161" s="307"/>
      <c r="AIP161" s="307"/>
      <c r="AIQ161" s="307"/>
      <c r="AIR161" s="307"/>
      <c r="AIS161" s="307"/>
      <c r="AIT161" s="307"/>
      <c r="AIU161" s="307"/>
      <c r="AIV161" s="307"/>
      <c r="AIW161" s="307"/>
      <c r="AIX161" s="307"/>
      <c r="AIY161" s="307"/>
      <c r="AIZ161" s="307"/>
      <c r="AJA161" s="307"/>
      <c r="AJB161" s="307"/>
      <c r="AJC161" s="307"/>
      <c r="AJD161" s="307"/>
      <c r="AJE161" s="307"/>
      <c r="AJF161" s="307"/>
      <c r="AJG161" s="307"/>
      <c r="AJH161" s="307"/>
      <c r="AJI161" s="307"/>
      <c r="AJJ161" s="307"/>
      <c r="AJK161" s="307"/>
      <c r="AJL161" s="307"/>
      <c r="AJM161" s="307"/>
      <c r="AJN161" s="307"/>
      <c r="AJO161" s="307"/>
      <c r="AJP161" s="307"/>
      <c r="AJQ161" s="307"/>
      <c r="AJR161" s="307"/>
      <c r="AJS161" s="307"/>
      <c r="AJT161" s="307"/>
      <c r="AJU161" s="307"/>
      <c r="AJV161" s="307"/>
      <c r="AJW161" s="307"/>
      <c r="AJX161" s="307"/>
      <c r="AJY161" s="307"/>
      <c r="AJZ161" s="307"/>
      <c r="AKA161" s="307"/>
      <c r="AKB161" s="307"/>
      <c r="AKC161" s="307"/>
      <c r="AKD161" s="307"/>
      <c r="AKE161" s="307"/>
      <c r="AKF161" s="307"/>
      <c r="AKG161" s="307"/>
      <c r="AKH161" s="307"/>
      <c r="AKI161" s="307"/>
      <c r="AKJ161" s="307"/>
      <c r="AKK161" s="307"/>
      <c r="AKL161" s="307"/>
      <c r="AKM161" s="307"/>
      <c r="AKN161" s="307"/>
      <c r="AKO161" s="307"/>
      <c r="AKP161" s="307"/>
      <c r="AKQ161" s="307"/>
      <c r="AKR161" s="307"/>
      <c r="AKS161" s="307"/>
      <c r="AKT161" s="307"/>
      <c r="AKU161" s="307"/>
      <c r="AKV161" s="307"/>
      <c r="AKW161" s="307"/>
      <c r="AKX161" s="307"/>
      <c r="AKY161" s="307"/>
      <c r="AKZ161" s="307"/>
      <c r="ALA161" s="307"/>
      <c r="ALB161" s="307"/>
      <c r="ALC161" s="307"/>
      <c r="ALD161" s="307"/>
      <c r="ALE161" s="307"/>
      <c r="ALF161" s="307"/>
      <c r="ALG161" s="307"/>
      <c r="ALH161" s="307"/>
      <c r="ALI161" s="307"/>
      <c r="ALJ161" s="307"/>
      <c r="ALK161" s="307"/>
      <c r="ALL161" s="307"/>
      <c r="ALM161" s="307"/>
      <c r="ALN161" s="307"/>
      <c r="ALO161" s="307"/>
      <c r="ALP161" s="307"/>
      <c r="ALQ161" s="307"/>
      <c r="ALR161" s="307"/>
      <c r="ALS161" s="307"/>
      <c r="ALT161" s="307"/>
      <c r="ALU161" s="307"/>
      <c r="ALV161" s="307"/>
      <c r="ALW161" s="307"/>
      <c r="ALX161" s="307"/>
      <c r="ALY161" s="307"/>
      <c r="ALZ161" s="307"/>
      <c r="AMA161" s="307"/>
      <c r="AMB161" s="307"/>
      <c r="AMC161" s="307"/>
      <c r="AMD161" s="307"/>
      <c r="AME161" s="307"/>
      <c r="AMF161" s="307"/>
      <c r="AMG161" s="307"/>
      <c r="AMH161" s="307"/>
      <c r="AMI161" s="307"/>
      <c r="AMJ161" s="307"/>
      <c r="AMK161" s="307"/>
      <c r="AML161" s="307"/>
      <c r="AMM161" s="307"/>
      <c r="AMN161" s="307"/>
      <c r="AMO161" s="307"/>
      <c r="AMP161" s="307"/>
      <c r="AMQ161" s="307"/>
      <c r="AMR161" s="307"/>
      <c r="AMS161" s="307"/>
      <c r="AMT161" s="307"/>
      <c r="AMU161" s="307"/>
      <c r="AMV161" s="307"/>
      <c r="AMW161" s="307"/>
      <c r="AMX161" s="307"/>
      <c r="AMY161" s="307"/>
      <c r="AMZ161" s="307"/>
      <c r="ANA161" s="307"/>
      <c r="ANB161" s="307"/>
      <c r="ANC161" s="307"/>
      <c r="AND161" s="307"/>
      <c r="ANE161" s="307"/>
      <c r="ANF161" s="307"/>
      <c r="ANG161" s="307"/>
      <c r="ANH161" s="307"/>
      <c r="ANI161" s="307"/>
      <c r="ANJ161" s="307"/>
      <c r="ANK161" s="307"/>
      <c r="ANL161" s="307"/>
      <c r="ANM161" s="307"/>
      <c r="ANN161" s="307"/>
      <c r="ANO161" s="307"/>
      <c r="ANP161" s="307"/>
      <c r="ANQ161" s="307"/>
      <c r="ANR161" s="307"/>
      <c r="ANS161" s="307"/>
      <c r="ANT161" s="307"/>
      <c r="ANU161" s="307"/>
      <c r="ANV161" s="307"/>
      <c r="ANW161" s="307"/>
      <c r="ANX161" s="307"/>
      <c r="ANY161" s="307"/>
      <c r="ANZ161" s="307"/>
      <c r="AOA161" s="307"/>
      <c r="AOB161" s="307"/>
      <c r="AOC161" s="307"/>
      <c r="AOD161" s="307"/>
      <c r="AOE161" s="307"/>
      <c r="AOF161" s="307"/>
      <c r="AOG161" s="307"/>
      <c r="AOH161" s="307"/>
      <c r="AOI161" s="307"/>
      <c r="AOJ161" s="307"/>
      <c r="AOK161" s="307"/>
      <c r="AOL161" s="307"/>
      <c r="AOM161" s="307"/>
      <c r="AON161" s="307"/>
      <c r="AOO161" s="307"/>
      <c r="AOP161" s="307"/>
      <c r="AOQ161" s="307"/>
      <c r="AOR161" s="307"/>
      <c r="AOS161" s="307"/>
      <c r="AOT161" s="307"/>
      <c r="AOU161" s="307"/>
      <c r="AOV161" s="307"/>
      <c r="AOW161" s="307"/>
      <c r="AOX161" s="307"/>
      <c r="AOY161" s="307"/>
      <c r="AOZ161" s="307"/>
      <c r="APA161" s="307"/>
      <c r="APB161" s="307"/>
      <c r="APC161" s="307"/>
      <c r="APD161" s="307"/>
      <c r="APE161" s="307"/>
      <c r="APF161" s="307"/>
      <c r="APG161" s="307"/>
      <c r="APH161" s="307"/>
      <c r="API161" s="307"/>
      <c r="APJ161" s="307"/>
      <c r="APK161" s="307"/>
      <c r="APL161" s="307"/>
      <c r="APM161" s="307"/>
      <c r="APN161" s="307"/>
      <c r="APO161" s="307"/>
      <c r="APP161" s="307"/>
      <c r="APQ161" s="307"/>
      <c r="APR161" s="307"/>
      <c r="APS161" s="307"/>
      <c r="APT161" s="307"/>
      <c r="APU161" s="307"/>
      <c r="APV161" s="307"/>
      <c r="APW161" s="307"/>
      <c r="APX161" s="307"/>
      <c r="APY161" s="307"/>
      <c r="APZ161" s="307"/>
      <c r="AQA161" s="307"/>
      <c r="AQB161" s="307"/>
      <c r="AQC161" s="307"/>
      <c r="AQD161" s="307"/>
      <c r="AQE161" s="307"/>
      <c r="AQF161" s="307"/>
      <c r="AQG161" s="307"/>
      <c r="AQH161" s="307"/>
      <c r="AQI161" s="307"/>
      <c r="AQJ161" s="307"/>
      <c r="AQK161" s="307"/>
      <c r="AQL161" s="307"/>
      <c r="AQM161" s="307"/>
      <c r="AQN161" s="307"/>
      <c r="AQO161" s="307"/>
      <c r="AQP161" s="307"/>
      <c r="AQQ161" s="307"/>
      <c r="AQR161" s="307"/>
      <c r="AQS161" s="307"/>
      <c r="AQT161" s="307"/>
      <c r="AQU161" s="307"/>
      <c r="AQV161" s="307"/>
      <c r="AQW161" s="307"/>
      <c r="AQX161" s="307"/>
      <c r="AQY161" s="307"/>
      <c r="AQZ161" s="307"/>
      <c r="ARA161" s="307"/>
      <c r="ARB161" s="307"/>
      <c r="ARC161" s="307"/>
      <c r="ARD161" s="307"/>
      <c r="ARE161" s="307"/>
      <c r="ARF161" s="307"/>
      <c r="ARG161" s="307"/>
      <c r="ARH161" s="307"/>
      <c r="ARI161" s="307"/>
      <c r="ARJ161" s="307"/>
      <c r="ARK161" s="307"/>
      <c r="ARL161" s="307"/>
      <c r="ARM161" s="307"/>
      <c r="ARN161" s="307"/>
      <c r="ARO161" s="307"/>
      <c r="ARP161" s="307"/>
      <c r="ARQ161" s="307"/>
      <c r="ARR161" s="307"/>
      <c r="ARS161" s="307"/>
      <c r="ART161" s="307"/>
      <c r="ARU161" s="307"/>
      <c r="ARV161" s="307"/>
      <c r="ARW161" s="307"/>
      <c r="ARX161" s="307"/>
      <c r="ARY161" s="307"/>
      <c r="ARZ161" s="307"/>
      <c r="ASA161" s="307"/>
      <c r="ASB161" s="307"/>
      <c r="ASC161" s="307"/>
      <c r="ASD161" s="307"/>
      <c r="ASE161" s="307"/>
      <c r="ASF161" s="307"/>
      <c r="ASG161" s="307"/>
      <c r="ASH161" s="307"/>
      <c r="ASI161" s="307"/>
      <c r="ASJ161" s="307"/>
      <c r="ASK161" s="307"/>
      <c r="ASL161" s="307"/>
      <c r="ASM161" s="307"/>
      <c r="ASN161" s="307"/>
      <c r="ASO161" s="307"/>
      <c r="ASP161" s="307"/>
      <c r="ASQ161" s="307"/>
      <c r="ASR161" s="307"/>
      <c r="ASS161" s="307"/>
      <c r="AST161" s="307"/>
      <c r="ASU161" s="307"/>
      <c r="ASV161" s="307"/>
      <c r="ASW161" s="307"/>
      <c r="ASX161" s="307"/>
      <c r="ASY161" s="307"/>
      <c r="ASZ161" s="307"/>
      <c r="ATA161" s="307"/>
      <c r="ATB161" s="307"/>
      <c r="ATC161" s="307"/>
      <c r="ATD161" s="307"/>
      <c r="ATE161" s="307"/>
      <c r="ATF161" s="307"/>
      <c r="ATG161" s="307"/>
      <c r="ATH161" s="307"/>
      <c r="ATI161" s="307"/>
      <c r="ATJ161" s="307"/>
      <c r="ATK161" s="307"/>
      <c r="ATL161" s="307"/>
      <c r="ATM161" s="307"/>
      <c r="ATN161" s="307"/>
      <c r="ATO161" s="307"/>
      <c r="ATP161" s="307"/>
      <c r="ATQ161" s="307"/>
      <c r="ATR161" s="307"/>
      <c r="ATS161" s="307"/>
      <c r="ATT161" s="307"/>
      <c r="ATU161" s="307"/>
      <c r="ATV161" s="307"/>
      <c r="ATW161" s="307"/>
      <c r="ATX161" s="307"/>
      <c r="ATY161" s="307"/>
      <c r="ATZ161" s="307"/>
      <c r="AUA161" s="307"/>
      <c r="AUB161" s="307"/>
      <c r="AUC161" s="307"/>
      <c r="AUD161" s="307"/>
      <c r="AUE161" s="307"/>
      <c r="AUF161" s="307"/>
      <c r="AUG161" s="307"/>
      <c r="AUH161" s="307"/>
      <c r="AUI161" s="307"/>
      <c r="AUJ161" s="307"/>
      <c r="AUK161" s="307"/>
      <c r="AUL161" s="307"/>
      <c r="AUM161" s="307"/>
      <c r="AUN161" s="307"/>
      <c r="AUO161" s="307"/>
      <c r="AUP161" s="307"/>
      <c r="AUQ161" s="307"/>
      <c r="AUR161" s="307"/>
      <c r="AUS161" s="307"/>
      <c r="AUT161" s="307"/>
      <c r="AUU161" s="307"/>
      <c r="AUV161" s="307"/>
      <c r="AUW161" s="307"/>
      <c r="AUX161" s="307"/>
      <c r="AUY161" s="307"/>
      <c r="AUZ161" s="307"/>
      <c r="AVA161" s="307"/>
      <c r="AVB161" s="307"/>
      <c r="AVC161" s="307"/>
      <c r="AVD161" s="307"/>
      <c r="AVE161" s="307"/>
      <c r="AVF161" s="307"/>
      <c r="AVG161" s="307"/>
      <c r="AVH161" s="307"/>
      <c r="AVI161" s="307"/>
      <c r="AVJ161" s="307"/>
      <c r="AVK161" s="307"/>
      <c r="AVL161" s="307"/>
      <c r="AVM161" s="307"/>
      <c r="AVN161" s="307"/>
      <c r="AVO161" s="307"/>
      <c r="AVP161" s="307"/>
      <c r="AVQ161" s="307"/>
      <c r="AVR161" s="307"/>
      <c r="AVS161" s="307"/>
      <c r="AVT161" s="307"/>
      <c r="AVU161" s="307"/>
    </row>
    <row r="162" spans="2:1269" s="118" customFormat="1" ht="13.5" customHeight="1" x14ac:dyDescent="0.2">
      <c r="B162" s="307"/>
      <c r="C162" s="307"/>
      <c r="D162" s="307"/>
      <c r="E162" s="307"/>
      <c r="F162" s="307"/>
      <c r="G162" s="307"/>
      <c r="H162" s="307"/>
      <c r="I162" s="307"/>
      <c r="J162" s="307"/>
      <c r="K162" s="307"/>
      <c r="L162" s="307"/>
      <c r="M162" s="307"/>
      <c r="N162" s="307"/>
      <c r="O162" s="307"/>
      <c r="P162" s="307"/>
      <c r="Q162" s="307"/>
      <c r="R162" s="307"/>
      <c r="S162" s="307"/>
      <c r="T162" s="307"/>
      <c r="U162" s="307"/>
      <c r="V162" s="307"/>
      <c r="W162" s="307"/>
      <c r="X162" s="307"/>
      <c r="Y162" s="307"/>
      <c r="Z162" s="307"/>
      <c r="AA162" s="307"/>
      <c r="AB162" s="307"/>
      <c r="AC162" s="307"/>
      <c r="AD162" s="307"/>
      <c r="AE162" s="307"/>
      <c r="AF162" s="307"/>
      <c r="AG162" s="307"/>
      <c r="AH162" s="307"/>
      <c r="AI162" s="307"/>
      <c r="AJ162" s="307"/>
      <c r="AK162" s="307"/>
      <c r="AL162" s="307"/>
      <c r="AM162" s="307"/>
      <c r="AN162" s="307"/>
      <c r="AO162" s="307"/>
      <c r="AP162" s="307"/>
      <c r="AQ162" s="307"/>
      <c r="AR162" s="307"/>
      <c r="AS162" s="307"/>
      <c r="AT162" s="307"/>
      <c r="AU162" s="307"/>
      <c r="AV162" s="307"/>
      <c r="AW162" s="307"/>
      <c r="AX162" s="307"/>
      <c r="AY162" s="307"/>
      <c r="AZ162" s="307"/>
      <c r="BA162" s="307"/>
      <c r="BB162" s="307"/>
      <c r="BC162" s="307"/>
      <c r="BD162" s="307"/>
      <c r="BE162" s="307"/>
      <c r="BF162" s="307"/>
      <c r="BG162" s="307"/>
      <c r="BH162" s="307"/>
      <c r="BI162" s="307"/>
      <c r="BJ162" s="307"/>
      <c r="BK162" s="307"/>
      <c r="BL162" s="307"/>
      <c r="BM162" s="307"/>
      <c r="BN162" s="307"/>
      <c r="BO162" s="307"/>
      <c r="BP162" s="307"/>
      <c r="BQ162" s="307"/>
      <c r="BR162" s="307"/>
      <c r="BS162" s="307"/>
      <c r="BT162" s="307"/>
      <c r="BU162" s="307"/>
      <c r="BV162" s="307"/>
      <c r="BW162" s="307"/>
      <c r="BX162" s="307"/>
      <c r="BY162" s="307"/>
      <c r="BZ162" s="307"/>
      <c r="CA162" s="307"/>
      <c r="CB162" s="307"/>
      <c r="CC162" s="307"/>
      <c r="CD162" s="307"/>
      <c r="CE162" s="307"/>
      <c r="CF162" s="307"/>
      <c r="CG162" s="307"/>
      <c r="CH162" s="307"/>
      <c r="CI162" s="307"/>
      <c r="CJ162" s="307"/>
      <c r="CK162" s="307"/>
      <c r="CL162" s="307"/>
      <c r="CM162" s="307"/>
      <c r="CN162" s="307"/>
      <c r="CO162" s="307"/>
      <c r="CP162" s="307"/>
      <c r="CQ162" s="307"/>
      <c r="CR162" s="307"/>
      <c r="CS162" s="307"/>
      <c r="CT162" s="307"/>
      <c r="CU162" s="307"/>
      <c r="CV162" s="307"/>
      <c r="CW162" s="307"/>
      <c r="CX162" s="307"/>
      <c r="CY162" s="307"/>
      <c r="CZ162" s="307"/>
      <c r="DA162" s="307"/>
      <c r="DB162" s="307"/>
      <c r="DC162" s="307"/>
      <c r="DD162" s="307"/>
      <c r="DE162" s="307"/>
      <c r="DF162" s="307"/>
      <c r="DG162" s="307"/>
      <c r="DH162" s="307"/>
      <c r="DI162" s="307"/>
      <c r="DJ162" s="307"/>
      <c r="DK162" s="307"/>
      <c r="DL162" s="307"/>
      <c r="DM162" s="307"/>
      <c r="DN162" s="307"/>
      <c r="DO162" s="307"/>
      <c r="DP162" s="307"/>
      <c r="DQ162" s="307"/>
      <c r="DR162" s="307"/>
      <c r="DS162" s="307"/>
      <c r="DT162" s="307"/>
      <c r="DU162" s="307"/>
      <c r="DV162" s="307"/>
      <c r="DW162" s="307"/>
      <c r="DX162" s="307"/>
      <c r="DY162" s="307"/>
      <c r="DZ162" s="307"/>
      <c r="EA162" s="307"/>
      <c r="EB162" s="307"/>
      <c r="EC162" s="307"/>
      <c r="ED162" s="307"/>
      <c r="EE162" s="307"/>
      <c r="EF162" s="307"/>
      <c r="EG162" s="307"/>
      <c r="EH162" s="307"/>
      <c r="EI162" s="307"/>
      <c r="EJ162" s="307"/>
      <c r="EK162" s="307"/>
      <c r="EL162" s="307"/>
      <c r="EM162" s="307"/>
      <c r="EN162" s="307"/>
      <c r="EO162" s="307"/>
      <c r="EP162" s="307"/>
      <c r="EQ162" s="307"/>
      <c r="ER162" s="307"/>
      <c r="ES162" s="307"/>
      <c r="ET162" s="307"/>
      <c r="EU162" s="307"/>
      <c r="EV162" s="307"/>
      <c r="EW162" s="307"/>
      <c r="EX162" s="307"/>
      <c r="EY162" s="307"/>
      <c r="EZ162" s="307"/>
      <c r="FA162" s="307"/>
      <c r="FB162" s="307"/>
      <c r="FC162" s="307"/>
      <c r="FD162" s="307"/>
      <c r="FE162" s="307"/>
      <c r="FF162" s="307"/>
      <c r="FG162" s="307"/>
      <c r="FH162" s="307"/>
      <c r="FI162" s="307"/>
      <c r="FJ162" s="307"/>
      <c r="FK162" s="307"/>
      <c r="FL162" s="307"/>
      <c r="FM162" s="307"/>
      <c r="FN162" s="307"/>
      <c r="FO162" s="307"/>
      <c r="FP162" s="307"/>
      <c r="FQ162" s="307"/>
      <c r="FR162" s="307"/>
      <c r="FS162" s="307"/>
      <c r="FT162" s="307"/>
      <c r="FU162" s="307"/>
      <c r="FV162" s="307"/>
      <c r="FW162" s="307"/>
      <c r="FX162" s="307"/>
      <c r="FY162" s="307"/>
      <c r="FZ162" s="307"/>
      <c r="GA162" s="307"/>
      <c r="GB162" s="307"/>
      <c r="GC162" s="307"/>
      <c r="GD162" s="307"/>
      <c r="GE162" s="307"/>
      <c r="GF162" s="307"/>
      <c r="GG162" s="307"/>
      <c r="GH162" s="307"/>
      <c r="GI162" s="307"/>
      <c r="GJ162" s="307"/>
      <c r="GK162" s="307"/>
      <c r="GL162" s="307"/>
      <c r="GM162" s="307"/>
      <c r="GN162" s="307"/>
      <c r="GO162" s="307"/>
      <c r="GP162" s="307"/>
      <c r="GQ162" s="307"/>
      <c r="GR162" s="307"/>
      <c r="GS162" s="307"/>
      <c r="GT162" s="307"/>
      <c r="GU162" s="307"/>
      <c r="GV162" s="307"/>
      <c r="GW162" s="307"/>
      <c r="GX162" s="307"/>
      <c r="GY162" s="307"/>
      <c r="GZ162" s="307"/>
      <c r="HA162" s="307"/>
      <c r="HB162" s="307"/>
      <c r="HC162" s="307"/>
      <c r="HD162" s="307"/>
      <c r="HE162" s="307"/>
      <c r="HF162" s="307"/>
      <c r="HG162" s="307"/>
      <c r="HH162" s="307"/>
      <c r="HI162" s="307"/>
      <c r="HJ162" s="307"/>
      <c r="HK162" s="307"/>
      <c r="HL162" s="307"/>
      <c r="HM162" s="307"/>
      <c r="HN162" s="307"/>
      <c r="HO162" s="307"/>
      <c r="HP162" s="307"/>
      <c r="HQ162" s="307"/>
      <c r="HR162" s="307"/>
      <c r="HS162" s="307"/>
      <c r="HT162" s="307"/>
      <c r="HU162" s="307"/>
      <c r="HV162" s="307"/>
      <c r="HW162" s="307"/>
      <c r="HX162" s="307"/>
      <c r="HY162" s="307"/>
      <c r="HZ162" s="307"/>
      <c r="IA162" s="307"/>
      <c r="IB162" s="307"/>
      <c r="IC162" s="307"/>
      <c r="ID162" s="307"/>
      <c r="IE162" s="307"/>
      <c r="IF162" s="307"/>
      <c r="IG162" s="307"/>
      <c r="IH162" s="307"/>
      <c r="II162" s="307"/>
      <c r="IJ162" s="307"/>
      <c r="IK162" s="307"/>
      <c r="IL162" s="307"/>
      <c r="IM162" s="307"/>
      <c r="IN162" s="307"/>
      <c r="IO162" s="307"/>
      <c r="IP162" s="307"/>
      <c r="IQ162" s="307"/>
      <c r="IR162" s="307"/>
      <c r="IS162" s="307"/>
      <c r="IT162" s="307"/>
      <c r="IU162" s="307"/>
      <c r="IV162" s="307"/>
      <c r="IW162" s="307"/>
      <c r="IX162" s="307"/>
      <c r="IY162" s="307"/>
      <c r="IZ162" s="307"/>
      <c r="JA162" s="307"/>
      <c r="JB162" s="307"/>
      <c r="JC162" s="307"/>
      <c r="JD162" s="307"/>
      <c r="JE162" s="307"/>
      <c r="JF162" s="307"/>
      <c r="JG162" s="307"/>
      <c r="JH162" s="307"/>
      <c r="JI162" s="307"/>
      <c r="JJ162" s="307"/>
      <c r="JK162" s="307"/>
      <c r="JL162" s="307"/>
      <c r="JM162" s="307"/>
      <c r="JN162" s="307"/>
      <c r="JO162" s="307"/>
      <c r="JP162" s="307"/>
      <c r="JQ162" s="307"/>
      <c r="JR162" s="307"/>
      <c r="JS162" s="307"/>
      <c r="JT162" s="307"/>
      <c r="JU162" s="307"/>
      <c r="JV162" s="307"/>
      <c r="JW162" s="307"/>
      <c r="JX162" s="307"/>
      <c r="JY162" s="307"/>
      <c r="JZ162" s="307"/>
      <c r="KA162" s="307"/>
      <c r="KB162" s="307"/>
      <c r="KC162" s="307"/>
      <c r="KD162" s="307"/>
      <c r="KE162" s="307"/>
      <c r="KF162" s="307"/>
      <c r="KG162" s="307"/>
      <c r="KH162" s="307"/>
      <c r="KI162" s="307"/>
      <c r="KJ162" s="307"/>
      <c r="KK162" s="307"/>
      <c r="KL162" s="307"/>
      <c r="KM162" s="307"/>
      <c r="KN162" s="307"/>
      <c r="KO162" s="307"/>
      <c r="KP162" s="307"/>
      <c r="KQ162" s="307"/>
      <c r="KR162" s="307"/>
      <c r="KS162" s="307"/>
      <c r="KT162" s="307"/>
      <c r="KU162" s="307"/>
      <c r="KV162" s="307"/>
      <c r="KW162" s="307"/>
      <c r="KX162" s="307"/>
      <c r="KY162" s="307"/>
      <c r="KZ162" s="307"/>
      <c r="LA162" s="307"/>
      <c r="LB162" s="307"/>
      <c r="LC162" s="307"/>
      <c r="LD162" s="307"/>
      <c r="LE162" s="307"/>
      <c r="LF162" s="307"/>
      <c r="LG162" s="307"/>
      <c r="LH162" s="307"/>
      <c r="LI162" s="307"/>
      <c r="LJ162" s="307"/>
      <c r="LK162" s="307"/>
      <c r="LL162" s="307"/>
      <c r="LM162" s="307"/>
      <c r="LN162" s="307"/>
      <c r="LO162" s="307"/>
      <c r="LP162" s="307"/>
      <c r="LQ162" s="307"/>
      <c r="LR162" s="307"/>
      <c r="LS162" s="307"/>
      <c r="LT162" s="307"/>
      <c r="LU162" s="307"/>
      <c r="LV162" s="307"/>
      <c r="LW162" s="307"/>
      <c r="LX162" s="307"/>
      <c r="LY162" s="307"/>
      <c r="LZ162" s="307"/>
      <c r="MA162" s="307"/>
      <c r="MB162" s="307"/>
      <c r="MC162" s="307"/>
      <c r="MD162" s="307"/>
      <c r="ME162" s="307"/>
      <c r="MF162" s="307"/>
      <c r="MG162" s="307"/>
      <c r="MH162" s="307"/>
      <c r="MI162" s="307"/>
      <c r="MJ162" s="307"/>
      <c r="MK162" s="307"/>
      <c r="ML162" s="307"/>
      <c r="MM162" s="307"/>
      <c r="MN162" s="307"/>
      <c r="MO162" s="307"/>
      <c r="MP162" s="307"/>
      <c r="MQ162" s="307"/>
      <c r="MR162" s="307"/>
      <c r="MS162" s="307"/>
      <c r="MT162" s="307"/>
      <c r="MU162" s="307"/>
      <c r="MV162" s="307"/>
      <c r="MW162" s="307"/>
      <c r="MX162" s="307"/>
      <c r="MY162" s="307"/>
      <c r="MZ162" s="307"/>
      <c r="NA162" s="307"/>
      <c r="NB162" s="307"/>
      <c r="NC162" s="307"/>
      <c r="ND162" s="307"/>
      <c r="NE162" s="307"/>
      <c r="NF162" s="307"/>
      <c r="NG162" s="307"/>
      <c r="NH162" s="307"/>
      <c r="NI162" s="307"/>
      <c r="NJ162" s="307"/>
      <c r="NK162" s="307"/>
      <c r="NL162" s="307"/>
      <c r="NM162" s="307"/>
      <c r="NN162" s="307"/>
      <c r="NO162" s="307"/>
      <c r="NP162" s="307"/>
      <c r="NQ162" s="307"/>
      <c r="NR162" s="307"/>
      <c r="NS162" s="307"/>
      <c r="NT162" s="307"/>
      <c r="NU162" s="307"/>
      <c r="NV162" s="307"/>
      <c r="NW162" s="307"/>
      <c r="NX162" s="307"/>
      <c r="NY162" s="307"/>
      <c r="NZ162" s="307"/>
      <c r="OA162" s="307"/>
      <c r="OB162" s="307"/>
      <c r="OC162" s="307"/>
      <c r="OD162" s="307"/>
      <c r="OE162" s="307"/>
      <c r="OF162" s="307"/>
      <c r="OG162" s="307"/>
      <c r="OH162" s="307"/>
      <c r="OI162" s="307"/>
      <c r="OJ162" s="307"/>
      <c r="OK162" s="307"/>
      <c r="OL162" s="307"/>
      <c r="OM162" s="307"/>
      <c r="ON162" s="307"/>
      <c r="OO162" s="307"/>
      <c r="OP162" s="307"/>
      <c r="OQ162" s="307"/>
      <c r="OR162" s="307"/>
      <c r="OS162" s="307"/>
      <c r="OT162" s="307"/>
      <c r="OU162" s="307"/>
      <c r="OV162" s="307"/>
      <c r="OW162" s="307"/>
      <c r="OX162" s="307"/>
      <c r="OY162" s="307"/>
      <c r="OZ162" s="307"/>
      <c r="PA162" s="307"/>
      <c r="PB162" s="307"/>
      <c r="PC162" s="307"/>
      <c r="PD162" s="307"/>
      <c r="PE162" s="307"/>
      <c r="PF162" s="307"/>
      <c r="PG162" s="307"/>
      <c r="PH162" s="307"/>
      <c r="PI162" s="307"/>
      <c r="PJ162" s="307"/>
      <c r="PK162" s="307"/>
      <c r="PL162" s="307"/>
      <c r="PM162" s="307"/>
      <c r="PN162" s="307"/>
      <c r="PO162" s="307"/>
      <c r="PP162" s="307"/>
      <c r="PQ162" s="307"/>
      <c r="PR162" s="307"/>
      <c r="PS162" s="307"/>
      <c r="PT162" s="307"/>
      <c r="PU162" s="307"/>
      <c r="PV162" s="307"/>
      <c r="PW162" s="307"/>
      <c r="PX162" s="307"/>
      <c r="PY162" s="307"/>
      <c r="PZ162" s="307"/>
      <c r="QA162" s="307"/>
      <c r="QB162" s="307"/>
      <c r="QC162" s="307"/>
      <c r="QD162" s="307"/>
      <c r="QE162" s="307"/>
      <c r="QF162" s="307"/>
      <c r="QG162" s="307"/>
      <c r="QH162" s="307"/>
      <c r="QI162" s="307"/>
      <c r="QJ162" s="307"/>
      <c r="QK162" s="307"/>
      <c r="QL162" s="307"/>
      <c r="QM162" s="307"/>
      <c r="QN162" s="307"/>
      <c r="QO162" s="307"/>
      <c r="QP162" s="307"/>
      <c r="QQ162" s="307"/>
      <c r="QR162" s="307"/>
      <c r="QS162" s="307"/>
      <c r="QT162" s="307"/>
      <c r="QU162" s="307"/>
      <c r="QV162" s="307"/>
      <c r="QW162" s="307"/>
      <c r="QX162" s="307"/>
      <c r="QY162" s="307"/>
      <c r="QZ162" s="307"/>
      <c r="RA162" s="307"/>
      <c r="RB162" s="307"/>
      <c r="RC162" s="307"/>
      <c r="RD162" s="307"/>
      <c r="RE162" s="307"/>
      <c r="RF162" s="307"/>
      <c r="RG162" s="307"/>
      <c r="RH162" s="307"/>
      <c r="RI162" s="307"/>
      <c r="RJ162" s="307"/>
      <c r="RK162" s="307"/>
      <c r="RL162" s="307"/>
      <c r="RM162" s="307"/>
      <c r="RN162" s="307"/>
      <c r="RO162" s="307"/>
      <c r="RP162" s="307"/>
      <c r="RQ162" s="307"/>
      <c r="RR162" s="307"/>
      <c r="RS162" s="307"/>
      <c r="RT162" s="307"/>
      <c r="RU162" s="307"/>
      <c r="RV162" s="307"/>
      <c r="RW162" s="307"/>
      <c r="RX162" s="307"/>
      <c r="RY162" s="307"/>
      <c r="RZ162" s="307"/>
      <c r="SA162" s="307"/>
      <c r="SB162" s="307"/>
      <c r="SC162" s="307"/>
      <c r="SD162" s="307"/>
      <c r="SE162" s="307"/>
      <c r="SF162" s="307"/>
      <c r="SG162" s="307"/>
      <c r="SH162" s="307"/>
      <c r="SI162" s="307"/>
      <c r="SJ162" s="307"/>
      <c r="SK162" s="307"/>
      <c r="SL162" s="307"/>
      <c r="SM162" s="307"/>
      <c r="SN162" s="307"/>
      <c r="SO162" s="307"/>
      <c r="SP162" s="307"/>
      <c r="SQ162" s="307"/>
      <c r="SR162" s="307"/>
      <c r="SS162" s="307"/>
      <c r="ST162" s="307"/>
      <c r="SU162" s="307"/>
      <c r="SV162" s="307"/>
      <c r="SW162" s="307"/>
      <c r="SX162" s="307"/>
      <c r="SY162" s="307"/>
      <c r="SZ162" s="307"/>
      <c r="TA162" s="307"/>
      <c r="TB162" s="307"/>
      <c r="TC162" s="307"/>
      <c r="TD162" s="307"/>
      <c r="TE162" s="307"/>
      <c r="TF162" s="307"/>
      <c r="TG162" s="307"/>
      <c r="TH162" s="307"/>
      <c r="TI162" s="307"/>
      <c r="TJ162" s="307"/>
      <c r="TK162" s="307"/>
      <c r="TL162" s="307"/>
      <c r="TM162" s="307"/>
      <c r="TN162" s="307"/>
      <c r="TO162" s="307"/>
      <c r="TP162" s="307"/>
      <c r="TQ162" s="307"/>
      <c r="TR162" s="307"/>
      <c r="TS162" s="307"/>
      <c r="TT162" s="307"/>
      <c r="TU162" s="307"/>
      <c r="TV162" s="307"/>
      <c r="TW162" s="307"/>
      <c r="TX162" s="307"/>
      <c r="TY162" s="307"/>
      <c r="TZ162" s="307"/>
      <c r="UA162" s="307"/>
      <c r="UB162" s="307"/>
      <c r="UC162" s="307"/>
      <c r="UD162" s="307"/>
      <c r="UE162" s="307"/>
      <c r="UF162" s="307"/>
      <c r="UG162" s="307"/>
      <c r="UH162" s="307"/>
      <c r="UI162" s="307"/>
      <c r="UJ162" s="307"/>
      <c r="UK162" s="307"/>
      <c r="UL162" s="307"/>
      <c r="UM162" s="307"/>
      <c r="UN162" s="307"/>
      <c r="UO162" s="307"/>
      <c r="UP162" s="307"/>
      <c r="UQ162" s="307"/>
      <c r="UR162" s="307"/>
      <c r="US162" s="307"/>
      <c r="UT162" s="307"/>
      <c r="UU162" s="307"/>
      <c r="UV162" s="307"/>
      <c r="UW162" s="307"/>
      <c r="UX162" s="307"/>
      <c r="UY162" s="307"/>
      <c r="UZ162" s="307"/>
      <c r="VA162" s="307"/>
      <c r="VB162" s="307"/>
      <c r="VC162" s="307"/>
      <c r="VD162" s="307"/>
      <c r="VE162" s="307"/>
      <c r="VF162" s="307"/>
      <c r="VG162" s="307"/>
      <c r="VH162" s="307"/>
      <c r="VI162" s="307"/>
      <c r="VJ162" s="307"/>
      <c r="VK162" s="307"/>
      <c r="VL162" s="307"/>
      <c r="VM162" s="307"/>
      <c r="VN162" s="307"/>
      <c r="VO162" s="307"/>
      <c r="VP162" s="307"/>
      <c r="VQ162" s="307"/>
      <c r="VR162" s="307"/>
      <c r="VS162" s="307"/>
      <c r="VT162" s="307"/>
      <c r="VU162" s="307"/>
      <c r="VV162" s="307"/>
      <c r="VW162" s="307"/>
      <c r="VX162" s="307"/>
      <c r="VY162" s="307"/>
      <c r="VZ162" s="307"/>
      <c r="WA162" s="307"/>
      <c r="WB162" s="307"/>
      <c r="WC162" s="307"/>
      <c r="WD162" s="307"/>
      <c r="WE162" s="307"/>
      <c r="WF162" s="307"/>
      <c r="WG162" s="307"/>
      <c r="WH162" s="307"/>
      <c r="WI162" s="307"/>
      <c r="WJ162" s="307"/>
      <c r="WK162" s="307"/>
      <c r="WL162" s="307"/>
      <c r="WM162" s="307"/>
      <c r="WN162" s="307"/>
      <c r="WO162" s="307"/>
      <c r="WP162" s="307"/>
      <c r="WQ162" s="307"/>
      <c r="WR162" s="307"/>
      <c r="WS162" s="307"/>
      <c r="WT162" s="307"/>
      <c r="WU162" s="307"/>
      <c r="WV162" s="307"/>
      <c r="WW162" s="307"/>
      <c r="WX162" s="307"/>
      <c r="WY162" s="307"/>
      <c r="WZ162" s="307"/>
      <c r="XA162" s="307"/>
      <c r="XB162" s="307"/>
      <c r="XC162" s="307"/>
      <c r="XD162" s="307"/>
      <c r="XE162" s="307"/>
      <c r="XF162" s="307"/>
      <c r="XG162" s="307"/>
      <c r="XH162" s="307"/>
      <c r="XI162" s="307"/>
      <c r="XJ162" s="307"/>
      <c r="XK162" s="307"/>
      <c r="XL162" s="307"/>
      <c r="XM162" s="307"/>
      <c r="XN162" s="307"/>
      <c r="XO162" s="307"/>
      <c r="XP162" s="307"/>
      <c r="XQ162" s="307"/>
      <c r="XR162" s="307"/>
      <c r="XS162" s="307"/>
      <c r="XT162" s="307"/>
      <c r="XU162" s="307"/>
      <c r="XV162" s="307"/>
      <c r="XW162" s="307"/>
      <c r="XX162" s="307"/>
      <c r="XY162" s="307"/>
      <c r="XZ162" s="307"/>
      <c r="YA162" s="307"/>
      <c r="YB162" s="307"/>
      <c r="YC162" s="307"/>
      <c r="YD162" s="307"/>
      <c r="YE162" s="307"/>
      <c r="YF162" s="307"/>
      <c r="YG162" s="307"/>
      <c r="YH162" s="307"/>
      <c r="YI162" s="307"/>
      <c r="YJ162" s="307"/>
      <c r="YK162" s="307"/>
      <c r="YL162" s="307"/>
      <c r="YM162" s="307"/>
      <c r="YN162" s="307"/>
      <c r="YO162" s="307"/>
      <c r="YP162" s="307"/>
      <c r="YQ162" s="307"/>
      <c r="YR162" s="307"/>
      <c r="YS162" s="307"/>
      <c r="YT162" s="307"/>
      <c r="YU162" s="307"/>
      <c r="YV162" s="307"/>
      <c r="YW162" s="307"/>
      <c r="YX162" s="307"/>
      <c r="YY162" s="307"/>
      <c r="YZ162" s="307"/>
      <c r="ZA162" s="307"/>
      <c r="ZB162" s="307"/>
      <c r="ZC162" s="307"/>
      <c r="ZD162" s="307"/>
      <c r="ZE162" s="307"/>
      <c r="ZF162" s="307"/>
      <c r="ZG162" s="307"/>
      <c r="ZH162" s="307"/>
      <c r="ZI162" s="307"/>
      <c r="ZJ162" s="307"/>
      <c r="ZK162" s="307"/>
      <c r="ZL162" s="307"/>
      <c r="ZM162" s="307"/>
      <c r="ZN162" s="307"/>
      <c r="ZO162" s="307"/>
      <c r="ZP162" s="307"/>
      <c r="ZQ162" s="307"/>
      <c r="ZR162" s="307"/>
      <c r="ZS162" s="307"/>
      <c r="ZT162" s="307"/>
      <c r="ZU162" s="307"/>
      <c r="ZV162" s="307"/>
      <c r="ZW162" s="307"/>
      <c r="ZX162" s="307"/>
      <c r="ZY162" s="307"/>
      <c r="ZZ162" s="307"/>
      <c r="AAA162" s="307"/>
      <c r="AAB162" s="307"/>
      <c r="AAC162" s="307"/>
      <c r="AAD162" s="307"/>
      <c r="AAE162" s="307"/>
      <c r="AAF162" s="307"/>
      <c r="AAG162" s="307"/>
      <c r="AAH162" s="307"/>
      <c r="AAI162" s="307"/>
      <c r="AAJ162" s="307"/>
      <c r="AAK162" s="307"/>
      <c r="AAL162" s="307"/>
      <c r="AAM162" s="307"/>
      <c r="AAN162" s="307"/>
      <c r="AAO162" s="307"/>
      <c r="AAP162" s="307"/>
      <c r="AAQ162" s="307"/>
      <c r="AAR162" s="307"/>
      <c r="AAS162" s="307"/>
      <c r="AAT162" s="307"/>
      <c r="AAU162" s="307"/>
      <c r="AAV162" s="307"/>
      <c r="AAW162" s="307"/>
      <c r="AAX162" s="307"/>
      <c r="AAY162" s="307"/>
      <c r="AAZ162" s="307"/>
      <c r="ABA162" s="307"/>
      <c r="ABB162" s="307"/>
      <c r="ABC162" s="307"/>
      <c r="ABD162" s="307"/>
      <c r="ABE162" s="307"/>
      <c r="ABF162" s="307"/>
      <c r="ABG162" s="307"/>
      <c r="ABH162" s="307"/>
      <c r="ABI162" s="307"/>
      <c r="ABJ162" s="307"/>
      <c r="ABK162" s="307"/>
      <c r="ABL162" s="307"/>
      <c r="ABM162" s="307"/>
      <c r="ABN162" s="307"/>
      <c r="ABO162" s="307"/>
      <c r="ABP162" s="307"/>
      <c r="ABQ162" s="307"/>
      <c r="ABR162" s="307"/>
      <c r="ABS162" s="307"/>
      <c r="ABT162" s="307"/>
      <c r="ABU162" s="307"/>
      <c r="ABV162" s="307"/>
      <c r="ABW162" s="307"/>
      <c r="ABX162" s="307"/>
      <c r="ABY162" s="307"/>
      <c r="ABZ162" s="307"/>
      <c r="ACA162" s="307"/>
      <c r="ACB162" s="307"/>
      <c r="ACC162" s="307"/>
      <c r="ACD162" s="307"/>
      <c r="ACE162" s="307"/>
      <c r="ACF162" s="307"/>
      <c r="ACG162" s="307"/>
      <c r="ACH162" s="307"/>
      <c r="ACI162" s="307"/>
      <c r="ACJ162" s="307"/>
      <c r="ACK162" s="307"/>
      <c r="ACL162" s="307"/>
      <c r="ACM162" s="307"/>
      <c r="ACN162" s="307"/>
      <c r="ACO162" s="307"/>
      <c r="ACP162" s="307"/>
      <c r="ACQ162" s="307"/>
      <c r="ACR162" s="307"/>
      <c r="ACS162" s="307"/>
      <c r="ACT162" s="307"/>
      <c r="ACU162" s="307"/>
      <c r="ACV162" s="307"/>
      <c r="ACW162" s="307"/>
      <c r="ACX162" s="307"/>
      <c r="ACY162" s="307"/>
      <c r="ACZ162" s="307"/>
      <c r="ADA162" s="307"/>
      <c r="ADB162" s="307"/>
      <c r="ADC162" s="307"/>
      <c r="ADD162" s="307"/>
      <c r="ADE162" s="307"/>
      <c r="ADF162" s="307"/>
      <c r="ADG162" s="307"/>
      <c r="ADH162" s="307"/>
      <c r="ADI162" s="307"/>
      <c r="ADJ162" s="307"/>
      <c r="ADK162" s="307"/>
      <c r="ADL162" s="307"/>
      <c r="ADM162" s="307"/>
      <c r="ADN162" s="307"/>
      <c r="ADO162" s="307"/>
      <c r="ADP162" s="307"/>
      <c r="ADQ162" s="307"/>
      <c r="ADR162" s="307"/>
      <c r="ADS162" s="307"/>
      <c r="ADT162" s="307"/>
      <c r="ADU162" s="307"/>
      <c r="ADV162" s="307"/>
      <c r="ADW162" s="307"/>
      <c r="ADX162" s="307"/>
      <c r="ADY162" s="307"/>
      <c r="ADZ162" s="307"/>
      <c r="AEA162" s="307"/>
      <c r="AEB162" s="307"/>
      <c r="AEC162" s="307"/>
      <c r="AED162" s="307"/>
      <c r="AEE162" s="307"/>
      <c r="AEF162" s="307"/>
      <c r="AEG162" s="307"/>
      <c r="AEH162" s="307"/>
      <c r="AEI162" s="307"/>
      <c r="AEJ162" s="307"/>
      <c r="AEK162" s="307"/>
      <c r="AEL162" s="307"/>
      <c r="AEM162" s="307"/>
      <c r="AEN162" s="307"/>
      <c r="AEO162" s="307"/>
      <c r="AEP162" s="307"/>
      <c r="AEQ162" s="307"/>
      <c r="AER162" s="307"/>
      <c r="AES162" s="307"/>
      <c r="AET162" s="307"/>
      <c r="AEU162" s="307"/>
      <c r="AEV162" s="307"/>
      <c r="AEW162" s="307"/>
      <c r="AEX162" s="307"/>
      <c r="AEY162" s="307"/>
      <c r="AEZ162" s="307"/>
      <c r="AFA162" s="307"/>
      <c r="AFB162" s="307"/>
      <c r="AFC162" s="307"/>
      <c r="AFD162" s="307"/>
      <c r="AFE162" s="307"/>
      <c r="AFF162" s="307"/>
      <c r="AFG162" s="307"/>
      <c r="AFH162" s="307"/>
      <c r="AFI162" s="307"/>
      <c r="AFJ162" s="307"/>
      <c r="AFK162" s="307"/>
      <c r="AFL162" s="307"/>
      <c r="AFM162" s="307"/>
      <c r="AFN162" s="307"/>
      <c r="AFO162" s="307"/>
      <c r="AFP162" s="307"/>
      <c r="AFQ162" s="307"/>
      <c r="AFR162" s="307"/>
      <c r="AFS162" s="307"/>
      <c r="AFT162" s="307"/>
      <c r="AFU162" s="307"/>
      <c r="AFV162" s="307"/>
      <c r="AFW162" s="307"/>
      <c r="AFX162" s="307"/>
      <c r="AFY162" s="307"/>
      <c r="AFZ162" s="307"/>
      <c r="AGA162" s="307"/>
      <c r="AGB162" s="307"/>
      <c r="AGC162" s="307"/>
      <c r="AGD162" s="307"/>
      <c r="AGE162" s="307"/>
      <c r="AGF162" s="307"/>
      <c r="AGG162" s="307"/>
      <c r="AGH162" s="307"/>
      <c r="AGI162" s="307"/>
      <c r="AGJ162" s="307"/>
      <c r="AGK162" s="307"/>
      <c r="AGL162" s="307"/>
      <c r="AGM162" s="307"/>
      <c r="AGN162" s="307"/>
      <c r="AGO162" s="307"/>
      <c r="AGP162" s="307"/>
      <c r="AGQ162" s="307"/>
      <c r="AGR162" s="307"/>
      <c r="AGS162" s="307"/>
      <c r="AGT162" s="307"/>
      <c r="AGU162" s="307"/>
      <c r="AGV162" s="307"/>
      <c r="AGW162" s="307"/>
      <c r="AGX162" s="307"/>
      <c r="AGY162" s="307"/>
      <c r="AGZ162" s="307"/>
      <c r="AHA162" s="307"/>
      <c r="AHB162" s="307"/>
      <c r="AHC162" s="307"/>
      <c r="AHD162" s="307"/>
      <c r="AHE162" s="307"/>
      <c r="AHF162" s="307"/>
      <c r="AHG162" s="307"/>
      <c r="AHH162" s="307"/>
      <c r="AHI162" s="307"/>
      <c r="AHJ162" s="307"/>
      <c r="AHK162" s="307"/>
      <c r="AHL162" s="307"/>
      <c r="AHM162" s="307"/>
      <c r="AHN162" s="307"/>
      <c r="AHO162" s="307"/>
      <c r="AHP162" s="307"/>
      <c r="AHQ162" s="307"/>
      <c r="AHR162" s="307"/>
      <c r="AHS162" s="307"/>
      <c r="AHT162" s="307"/>
      <c r="AHU162" s="307"/>
      <c r="AHV162" s="307"/>
      <c r="AHW162" s="307"/>
      <c r="AHX162" s="307"/>
      <c r="AHY162" s="307"/>
      <c r="AHZ162" s="307"/>
      <c r="AIA162" s="307"/>
      <c r="AIB162" s="307"/>
      <c r="AIC162" s="307"/>
      <c r="AID162" s="307"/>
      <c r="AIE162" s="307"/>
      <c r="AIF162" s="307"/>
      <c r="AIG162" s="307"/>
      <c r="AIH162" s="307"/>
      <c r="AII162" s="307"/>
      <c r="AIJ162" s="307"/>
      <c r="AIK162" s="307"/>
      <c r="AIL162" s="307"/>
      <c r="AIM162" s="307"/>
      <c r="AIN162" s="307"/>
      <c r="AIO162" s="307"/>
      <c r="AIP162" s="307"/>
      <c r="AIQ162" s="307"/>
      <c r="AIR162" s="307"/>
      <c r="AIS162" s="307"/>
      <c r="AIT162" s="307"/>
      <c r="AIU162" s="307"/>
      <c r="AIV162" s="307"/>
      <c r="AIW162" s="307"/>
      <c r="AIX162" s="307"/>
      <c r="AIY162" s="307"/>
      <c r="AIZ162" s="307"/>
      <c r="AJA162" s="307"/>
      <c r="AJB162" s="307"/>
      <c r="AJC162" s="307"/>
      <c r="AJD162" s="307"/>
      <c r="AJE162" s="307"/>
      <c r="AJF162" s="307"/>
      <c r="AJG162" s="307"/>
      <c r="AJH162" s="307"/>
      <c r="AJI162" s="307"/>
      <c r="AJJ162" s="307"/>
      <c r="AJK162" s="307"/>
      <c r="AJL162" s="307"/>
      <c r="AJM162" s="307"/>
      <c r="AJN162" s="307"/>
      <c r="AJO162" s="307"/>
      <c r="AJP162" s="307"/>
      <c r="AJQ162" s="307"/>
      <c r="AJR162" s="307"/>
      <c r="AJS162" s="307"/>
      <c r="AJT162" s="307"/>
      <c r="AJU162" s="307"/>
      <c r="AJV162" s="307"/>
      <c r="AJW162" s="307"/>
      <c r="AJX162" s="307"/>
      <c r="AJY162" s="307"/>
      <c r="AJZ162" s="307"/>
      <c r="AKA162" s="307"/>
      <c r="AKB162" s="307"/>
      <c r="AKC162" s="307"/>
      <c r="AKD162" s="307"/>
      <c r="AKE162" s="307"/>
      <c r="AKF162" s="307"/>
      <c r="AKG162" s="307"/>
      <c r="AKH162" s="307"/>
      <c r="AKI162" s="307"/>
      <c r="AKJ162" s="307"/>
      <c r="AKK162" s="307"/>
      <c r="AKL162" s="307"/>
      <c r="AKM162" s="307"/>
      <c r="AKN162" s="307"/>
      <c r="AKO162" s="307"/>
      <c r="AKP162" s="307"/>
      <c r="AKQ162" s="307"/>
      <c r="AKR162" s="307"/>
      <c r="AKS162" s="307"/>
      <c r="AKT162" s="307"/>
      <c r="AKU162" s="307"/>
      <c r="AKV162" s="307"/>
      <c r="AKW162" s="307"/>
      <c r="AKX162" s="307"/>
      <c r="AKY162" s="307"/>
      <c r="AKZ162" s="307"/>
      <c r="ALA162" s="307"/>
      <c r="ALB162" s="307"/>
      <c r="ALC162" s="307"/>
      <c r="ALD162" s="307"/>
      <c r="ALE162" s="307"/>
      <c r="ALF162" s="307"/>
      <c r="ALG162" s="307"/>
      <c r="ALH162" s="307"/>
      <c r="ALI162" s="307"/>
      <c r="ALJ162" s="307"/>
      <c r="ALK162" s="307"/>
      <c r="ALL162" s="307"/>
      <c r="ALM162" s="307"/>
      <c r="ALN162" s="307"/>
      <c r="ALO162" s="307"/>
      <c r="ALP162" s="307"/>
      <c r="ALQ162" s="307"/>
      <c r="ALR162" s="307"/>
      <c r="ALS162" s="307"/>
      <c r="ALT162" s="307"/>
      <c r="ALU162" s="307"/>
      <c r="ALV162" s="307"/>
      <c r="ALW162" s="307"/>
      <c r="ALX162" s="307"/>
      <c r="ALY162" s="307"/>
      <c r="ALZ162" s="307"/>
      <c r="AMA162" s="307"/>
      <c r="AMB162" s="307"/>
      <c r="AMC162" s="307"/>
      <c r="AMD162" s="307"/>
      <c r="AME162" s="307"/>
      <c r="AMF162" s="307"/>
      <c r="AMG162" s="307"/>
      <c r="AMH162" s="307"/>
      <c r="AMI162" s="307"/>
      <c r="AMJ162" s="307"/>
      <c r="AMK162" s="307"/>
      <c r="AML162" s="307"/>
      <c r="AMM162" s="307"/>
      <c r="AMN162" s="307"/>
      <c r="AMO162" s="307"/>
      <c r="AMP162" s="307"/>
      <c r="AMQ162" s="307"/>
      <c r="AMR162" s="307"/>
      <c r="AMS162" s="307"/>
      <c r="AMT162" s="307"/>
      <c r="AMU162" s="307"/>
      <c r="AMV162" s="307"/>
      <c r="AMW162" s="307"/>
      <c r="AMX162" s="307"/>
      <c r="AMY162" s="307"/>
      <c r="AMZ162" s="307"/>
      <c r="ANA162" s="307"/>
      <c r="ANB162" s="307"/>
      <c r="ANC162" s="307"/>
      <c r="AND162" s="307"/>
      <c r="ANE162" s="307"/>
      <c r="ANF162" s="307"/>
      <c r="ANG162" s="307"/>
      <c r="ANH162" s="307"/>
      <c r="ANI162" s="307"/>
      <c r="ANJ162" s="307"/>
      <c r="ANK162" s="307"/>
      <c r="ANL162" s="307"/>
      <c r="ANM162" s="307"/>
      <c r="ANN162" s="307"/>
      <c r="ANO162" s="307"/>
      <c r="ANP162" s="307"/>
      <c r="ANQ162" s="307"/>
      <c r="ANR162" s="307"/>
      <c r="ANS162" s="307"/>
      <c r="ANT162" s="307"/>
      <c r="ANU162" s="307"/>
      <c r="ANV162" s="307"/>
      <c r="ANW162" s="307"/>
      <c r="ANX162" s="307"/>
      <c r="ANY162" s="307"/>
      <c r="ANZ162" s="307"/>
      <c r="AOA162" s="307"/>
      <c r="AOB162" s="307"/>
      <c r="AOC162" s="307"/>
      <c r="AOD162" s="307"/>
      <c r="AOE162" s="307"/>
      <c r="AOF162" s="307"/>
      <c r="AOG162" s="307"/>
      <c r="AOH162" s="307"/>
      <c r="AOI162" s="307"/>
      <c r="AOJ162" s="307"/>
      <c r="AOK162" s="307"/>
      <c r="AOL162" s="307"/>
      <c r="AOM162" s="307"/>
      <c r="AON162" s="307"/>
      <c r="AOO162" s="307"/>
      <c r="AOP162" s="307"/>
      <c r="AOQ162" s="307"/>
      <c r="AOR162" s="307"/>
      <c r="AOS162" s="307"/>
      <c r="AOT162" s="307"/>
      <c r="AOU162" s="307"/>
      <c r="AOV162" s="307"/>
      <c r="AOW162" s="307"/>
      <c r="AOX162" s="307"/>
      <c r="AOY162" s="307"/>
      <c r="AOZ162" s="307"/>
      <c r="APA162" s="307"/>
      <c r="APB162" s="307"/>
      <c r="APC162" s="307"/>
      <c r="APD162" s="307"/>
      <c r="APE162" s="307"/>
      <c r="APF162" s="307"/>
      <c r="APG162" s="307"/>
      <c r="APH162" s="307"/>
      <c r="API162" s="307"/>
      <c r="APJ162" s="307"/>
      <c r="APK162" s="307"/>
      <c r="APL162" s="307"/>
      <c r="APM162" s="307"/>
      <c r="APN162" s="307"/>
      <c r="APO162" s="307"/>
      <c r="APP162" s="307"/>
      <c r="APQ162" s="307"/>
      <c r="APR162" s="307"/>
      <c r="APS162" s="307"/>
      <c r="APT162" s="307"/>
      <c r="APU162" s="307"/>
      <c r="APV162" s="307"/>
      <c r="APW162" s="307"/>
      <c r="APX162" s="307"/>
      <c r="APY162" s="307"/>
      <c r="APZ162" s="307"/>
      <c r="AQA162" s="307"/>
      <c r="AQB162" s="307"/>
      <c r="AQC162" s="307"/>
      <c r="AQD162" s="307"/>
      <c r="AQE162" s="307"/>
      <c r="AQF162" s="307"/>
      <c r="AQG162" s="307"/>
      <c r="AQH162" s="307"/>
      <c r="AQI162" s="307"/>
      <c r="AQJ162" s="307"/>
      <c r="AQK162" s="307"/>
      <c r="AQL162" s="307"/>
      <c r="AQM162" s="307"/>
      <c r="AQN162" s="307"/>
      <c r="AQO162" s="307"/>
      <c r="AQP162" s="307"/>
      <c r="AQQ162" s="307"/>
      <c r="AQR162" s="307"/>
      <c r="AQS162" s="307"/>
      <c r="AQT162" s="307"/>
      <c r="AQU162" s="307"/>
      <c r="AQV162" s="307"/>
      <c r="AQW162" s="307"/>
      <c r="AQX162" s="307"/>
      <c r="AQY162" s="307"/>
      <c r="AQZ162" s="307"/>
      <c r="ARA162" s="307"/>
      <c r="ARB162" s="307"/>
      <c r="ARC162" s="307"/>
      <c r="ARD162" s="307"/>
      <c r="ARE162" s="307"/>
      <c r="ARF162" s="307"/>
      <c r="ARG162" s="307"/>
      <c r="ARH162" s="307"/>
      <c r="ARI162" s="307"/>
      <c r="ARJ162" s="307"/>
      <c r="ARK162" s="307"/>
      <c r="ARL162" s="307"/>
      <c r="ARM162" s="307"/>
      <c r="ARN162" s="307"/>
      <c r="ARO162" s="307"/>
      <c r="ARP162" s="307"/>
      <c r="ARQ162" s="307"/>
      <c r="ARR162" s="307"/>
      <c r="ARS162" s="307"/>
      <c r="ART162" s="307"/>
      <c r="ARU162" s="307"/>
      <c r="ARV162" s="307"/>
      <c r="ARW162" s="307"/>
      <c r="ARX162" s="307"/>
      <c r="ARY162" s="307"/>
      <c r="ARZ162" s="307"/>
      <c r="ASA162" s="307"/>
      <c r="ASB162" s="307"/>
      <c r="ASC162" s="307"/>
      <c r="ASD162" s="307"/>
      <c r="ASE162" s="307"/>
      <c r="ASF162" s="307"/>
      <c r="ASG162" s="307"/>
      <c r="ASH162" s="307"/>
      <c r="ASI162" s="307"/>
      <c r="ASJ162" s="307"/>
      <c r="ASK162" s="307"/>
      <c r="ASL162" s="307"/>
      <c r="ASM162" s="307"/>
      <c r="ASN162" s="307"/>
      <c r="ASO162" s="307"/>
      <c r="ASP162" s="307"/>
      <c r="ASQ162" s="307"/>
      <c r="ASR162" s="307"/>
      <c r="ASS162" s="307"/>
      <c r="AST162" s="307"/>
      <c r="ASU162" s="307"/>
      <c r="ASV162" s="307"/>
      <c r="ASW162" s="307"/>
      <c r="ASX162" s="307"/>
      <c r="ASY162" s="307"/>
      <c r="ASZ162" s="307"/>
      <c r="ATA162" s="307"/>
      <c r="ATB162" s="307"/>
      <c r="ATC162" s="307"/>
      <c r="ATD162" s="307"/>
      <c r="ATE162" s="307"/>
      <c r="ATF162" s="307"/>
      <c r="ATG162" s="307"/>
      <c r="ATH162" s="307"/>
      <c r="ATI162" s="307"/>
      <c r="ATJ162" s="307"/>
      <c r="ATK162" s="307"/>
      <c r="ATL162" s="307"/>
      <c r="ATM162" s="307"/>
      <c r="ATN162" s="307"/>
      <c r="ATO162" s="307"/>
      <c r="ATP162" s="307"/>
      <c r="ATQ162" s="307"/>
      <c r="ATR162" s="307"/>
      <c r="ATS162" s="307"/>
      <c r="ATT162" s="307"/>
      <c r="ATU162" s="307"/>
      <c r="ATV162" s="307"/>
      <c r="ATW162" s="307"/>
      <c r="ATX162" s="307"/>
      <c r="ATY162" s="307"/>
      <c r="ATZ162" s="307"/>
      <c r="AUA162" s="307"/>
      <c r="AUB162" s="307"/>
      <c r="AUC162" s="307"/>
      <c r="AUD162" s="307"/>
      <c r="AUE162" s="307"/>
      <c r="AUF162" s="307"/>
      <c r="AUG162" s="307"/>
      <c r="AUH162" s="307"/>
      <c r="AUI162" s="307"/>
      <c r="AUJ162" s="307"/>
      <c r="AUK162" s="307"/>
      <c r="AUL162" s="307"/>
      <c r="AUM162" s="307"/>
      <c r="AUN162" s="307"/>
      <c r="AUO162" s="307"/>
      <c r="AUP162" s="307"/>
      <c r="AUQ162" s="307"/>
      <c r="AUR162" s="307"/>
      <c r="AUS162" s="307"/>
      <c r="AUT162" s="307"/>
      <c r="AUU162" s="307"/>
      <c r="AUV162" s="307"/>
      <c r="AUW162" s="307"/>
      <c r="AUX162" s="307"/>
      <c r="AUY162" s="307"/>
      <c r="AUZ162" s="307"/>
      <c r="AVA162" s="307"/>
      <c r="AVB162" s="307"/>
      <c r="AVC162" s="307"/>
      <c r="AVD162" s="307"/>
      <c r="AVE162" s="307"/>
      <c r="AVF162" s="307"/>
      <c r="AVG162" s="307"/>
      <c r="AVH162" s="307"/>
      <c r="AVI162" s="307"/>
      <c r="AVJ162" s="307"/>
      <c r="AVK162" s="307"/>
      <c r="AVL162" s="307"/>
      <c r="AVM162" s="307"/>
      <c r="AVN162" s="307"/>
      <c r="AVO162" s="307"/>
      <c r="AVP162" s="307"/>
      <c r="AVQ162" s="307"/>
      <c r="AVR162" s="307"/>
      <c r="AVS162" s="307"/>
      <c r="AVT162" s="307"/>
      <c r="AVU162" s="307"/>
    </row>
    <row r="176" spans="2:1269" s="118" customFormat="1" ht="13.5" customHeight="1" x14ac:dyDescent="0.2">
      <c r="B176" s="126"/>
      <c r="C176" s="126"/>
      <c r="D176" s="126"/>
      <c r="E176" s="126"/>
      <c r="F176" s="126"/>
      <c r="G176" s="126"/>
      <c r="H176" s="126"/>
      <c r="I176" s="126"/>
      <c r="J176" s="126"/>
      <c r="K176" s="126"/>
      <c r="L176" s="126"/>
      <c r="M176" s="126"/>
      <c r="N176" s="126"/>
      <c r="O176" s="126"/>
      <c r="P176" s="126"/>
      <c r="Q176" s="126"/>
      <c r="R176" s="126"/>
      <c r="S176" s="126"/>
      <c r="T176" s="126"/>
      <c r="U176" s="126"/>
      <c r="V176" s="126"/>
      <c r="W176" s="126"/>
      <c r="X176" s="126"/>
      <c r="Y176" s="126"/>
      <c r="Z176" s="126"/>
      <c r="AA176" s="126"/>
      <c r="AB176" s="126"/>
      <c r="AC176" s="126"/>
      <c r="AD176" s="126"/>
      <c r="AE176" s="126"/>
      <c r="AF176" s="126"/>
      <c r="AG176" s="126"/>
      <c r="AH176" s="126"/>
      <c r="AI176" s="126"/>
      <c r="AJ176" s="126"/>
      <c r="AK176" s="126"/>
      <c r="AL176" s="126"/>
      <c r="AM176" s="126"/>
      <c r="AN176" s="126"/>
      <c r="AO176" s="126"/>
      <c r="AP176" s="126"/>
      <c r="AQ176" s="126"/>
      <c r="AR176" s="126"/>
      <c r="AS176" s="126"/>
      <c r="AT176" s="126"/>
      <c r="AU176" s="126"/>
      <c r="AV176" s="126"/>
      <c r="AW176" s="126"/>
      <c r="AX176" s="126"/>
      <c r="AY176" s="126"/>
      <c r="AZ176" s="126"/>
      <c r="BA176" s="126"/>
      <c r="BB176" s="126"/>
      <c r="BC176" s="126"/>
      <c r="BD176" s="126"/>
      <c r="BE176" s="126"/>
      <c r="BF176" s="126"/>
      <c r="BG176" s="126"/>
      <c r="BH176" s="126"/>
      <c r="BI176" s="126"/>
      <c r="BJ176" s="126"/>
      <c r="BK176" s="126"/>
      <c r="BL176" s="126"/>
      <c r="BM176" s="126"/>
      <c r="BN176" s="126"/>
      <c r="BO176" s="126"/>
      <c r="BP176" s="126"/>
      <c r="BQ176" s="126"/>
      <c r="BR176" s="126"/>
      <c r="BS176" s="126"/>
      <c r="BT176" s="126"/>
      <c r="BU176" s="126"/>
      <c r="BV176" s="126"/>
      <c r="BW176" s="126"/>
      <c r="BX176" s="126"/>
      <c r="BY176" s="126"/>
      <c r="BZ176" s="126"/>
      <c r="CA176" s="126"/>
      <c r="CB176" s="126"/>
      <c r="CC176" s="126"/>
      <c r="CD176" s="126"/>
      <c r="CE176" s="126"/>
      <c r="CF176" s="126"/>
      <c r="CG176" s="126"/>
      <c r="CH176" s="126"/>
      <c r="CI176" s="126"/>
      <c r="CJ176" s="126"/>
      <c r="CK176" s="126"/>
      <c r="CL176" s="126"/>
      <c r="CM176" s="126"/>
      <c r="CN176" s="126"/>
      <c r="CO176" s="126"/>
      <c r="CP176" s="126"/>
      <c r="CQ176" s="126"/>
      <c r="CR176" s="126"/>
      <c r="CS176" s="126"/>
      <c r="CT176" s="126"/>
      <c r="CU176" s="126"/>
      <c r="CV176" s="126"/>
      <c r="CW176" s="126"/>
      <c r="CX176" s="126"/>
      <c r="CY176" s="126"/>
      <c r="CZ176" s="126"/>
      <c r="DA176" s="126"/>
      <c r="DB176" s="126"/>
      <c r="DC176" s="126"/>
      <c r="DD176" s="126"/>
      <c r="DE176" s="126"/>
      <c r="DF176" s="126"/>
      <c r="DG176" s="126"/>
      <c r="DH176" s="126"/>
      <c r="DI176" s="126"/>
      <c r="DJ176" s="126"/>
      <c r="DK176" s="126"/>
      <c r="DL176" s="126"/>
      <c r="DM176" s="126"/>
      <c r="DN176" s="126"/>
      <c r="DO176" s="126"/>
      <c r="DP176" s="126"/>
      <c r="DQ176" s="126"/>
      <c r="DR176" s="126"/>
      <c r="DS176" s="126"/>
      <c r="DT176" s="126"/>
      <c r="DU176" s="116"/>
      <c r="DV176" s="116"/>
      <c r="DW176" s="116"/>
      <c r="DX176" s="116"/>
      <c r="DY176" s="116"/>
      <c r="DZ176" s="116"/>
      <c r="EA176" s="116"/>
      <c r="EB176" s="126"/>
      <c r="EC176" s="126"/>
      <c r="ED176" s="126"/>
      <c r="EE176" s="126"/>
      <c r="EF176" s="126"/>
      <c r="EG176" s="126"/>
      <c r="EH176" s="126"/>
      <c r="EI176" s="126"/>
      <c r="EJ176" s="126"/>
      <c r="EK176" s="126"/>
      <c r="EL176" s="126"/>
      <c r="EM176" s="126"/>
      <c r="EN176" s="126"/>
      <c r="EO176" s="126"/>
      <c r="EP176" s="126"/>
      <c r="EQ176" s="126"/>
      <c r="ER176" s="126"/>
      <c r="ES176" s="126"/>
      <c r="ET176" s="126"/>
      <c r="EU176" s="126"/>
      <c r="EV176" s="126"/>
      <c r="EW176" s="126"/>
      <c r="EX176" s="126"/>
      <c r="EY176" s="126"/>
      <c r="EZ176" s="126"/>
      <c r="FA176" s="126"/>
      <c r="FB176" s="126"/>
      <c r="FC176" s="126"/>
      <c r="FD176" s="126"/>
      <c r="FE176" s="126"/>
      <c r="FF176" s="126"/>
      <c r="FG176" s="126"/>
      <c r="FH176" s="126"/>
      <c r="FI176" s="126"/>
      <c r="FJ176" s="126"/>
      <c r="FK176" s="126"/>
      <c r="FL176" s="126"/>
      <c r="FM176" s="126"/>
      <c r="FN176" s="126"/>
      <c r="FO176" s="126"/>
      <c r="FP176" s="126"/>
      <c r="FQ176" s="126"/>
      <c r="FR176" s="126"/>
      <c r="FS176" s="126"/>
      <c r="FT176" s="126"/>
      <c r="FU176" s="126"/>
      <c r="FV176" s="126"/>
      <c r="FW176" s="126"/>
      <c r="FX176" s="126"/>
      <c r="FY176" s="126"/>
      <c r="FZ176" s="126"/>
      <c r="GA176" s="126"/>
      <c r="GB176" s="126"/>
      <c r="GC176" s="126"/>
      <c r="GD176" s="126"/>
      <c r="GE176" s="126"/>
    </row>
    <row r="177" spans="1:187" s="118" customFormat="1" ht="13.5" customHeight="1" x14ac:dyDescent="0.2">
      <c r="B177" s="324"/>
      <c r="C177" s="324"/>
      <c r="D177" s="324"/>
      <c r="E177" s="324"/>
      <c r="F177" s="258"/>
      <c r="G177" s="258"/>
      <c r="H177" s="258"/>
      <c r="I177" s="258"/>
      <c r="J177" s="258"/>
      <c r="K177" s="258"/>
      <c r="L177" s="258"/>
      <c r="M177" s="258"/>
      <c r="N177" s="258"/>
      <c r="O177" s="258"/>
      <c r="P177" s="258"/>
      <c r="Q177" s="258"/>
      <c r="R177" s="258"/>
      <c r="S177" s="258"/>
      <c r="T177" s="258"/>
      <c r="U177" s="460" t="s">
        <v>57</v>
      </c>
      <c r="V177" s="467"/>
      <c r="W177" s="468"/>
      <c r="X177" s="122"/>
      <c r="Y177" s="258"/>
      <c r="Z177" s="258"/>
      <c r="AA177" s="258"/>
      <c r="AB177" s="258"/>
      <c r="AC177" s="258"/>
      <c r="AD177" s="258"/>
      <c r="AE177" s="258"/>
      <c r="AF177" s="258"/>
      <c r="AG177" s="258"/>
      <c r="AH177" s="258"/>
      <c r="AI177" s="258"/>
      <c r="AJ177" s="258"/>
      <c r="AK177" s="258"/>
      <c r="AL177" s="258"/>
      <c r="AM177" s="258"/>
      <c r="AN177" s="258"/>
      <c r="AO177" s="258"/>
      <c r="AP177" s="258"/>
      <c r="AQ177" s="258"/>
      <c r="AR177" s="258"/>
      <c r="AS177" s="258"/>
      <c r="AT177" s="258"/>
      <c r="AU177" s="258"/>
      <c r="AV177" s="258"/>
      <c r="AW177" s="258"/>
      <c r="AX177" s="258"/>
      <c r="AY177" s="258"/>
      <c r="AZ177" s="258"/>
      <c r="BA177" s="258"/>
      <c r="BB177" s="258"/>
      <c r="BC177" s="258"/>
      <c r="BD177" s="258"/>
      <c r="BE177" s="258"/>
      <c r="BF177" s="258"/>
      <c r="BG177" s="258"/>
      <c r="BH177" s="258"/>
      <c r="BI177" s="258"/>
      <c r="BJ177" s="258"/>
      <c r="BK177" s="258"/>
      <c r="BL177" s="258"/>
      <c r="BM177" s="258"/>
      <c r="BN177" s="258"/>
      <c r="BO177" s="258"/>
      <c r="BP177" s="258"/>
      <c r="BQ177" s="258"/>
      <c r="BR177" s="258"/>
      <c r="BS177" s="258"/>
      <c r="BT177" s="258"/>
      <c r="BU177" s="258"/>
      <c r="BV177" s="258"/>
      <c r="BW177" s="258"/>
      <c r="BX177" s="258"/>
      <c r="BY177" s="258"/>
      <c r="BZ177" s="258"/>
      <c r="CA177" s="258"/>
      <c r="CB177" s="258"/>
      <c r="CC177" s="258"/>
      <c r="CD177" s="258"/>
      <c r="CE177" s="258"/>
      <c r="CF177" s="258"/>
      <c r="CG177" s="258"/>
      <c r="CH177" s="258"/>
      <c r="CI177" s="258"/>
      <c r="CJ177" s="258"/>
      <c r="CK177" s="258"/>
      <c r="CL177" s="258"/>
      <c r="CM177" s="258"/>
      <c r="CN177" s="258"/>
      <c r="CO177" s="258"/>
      <c r="CP177" s="258"/>
      <c r="CQ177" s="258"/>
      <c r="CR177" s="258"/>
      <c r="CS177" s="258"/>
      <c r="CT177" s="258"/>
      <c r="CU177" s="258"/>
      <c r="CV177" s="258"/>
      <c r="CW177" s="258"/>
      <c r="CX177" s="258"/>
      <c r="CY177" s="258"/>
      <c r="CZ177" s="258"/>
      <c r="DA177" s="258"/>
      <c r="DB177" s="258"/>
      <c r="DC177" s="258"/>
      <c r="DD177" s="258"/>
      <c r="DE177" s="258"/>
      <c r="DF177" s="258"/>
      <c r="DG177" s="258"/>
      <c r="DH177" s="258"/>
      <c r="DI177" s="258"/>
      <c r="DJ177" s="258"/>
      <c r="DK177" s="258"/>
      <c r="DL177" s="258"/>
      <c r="DM177" s="258"/>
      <c r="DN177" s="258"/>
      <c r="DO177" s="258"/>
      <c r="DP177" s="258"/>
      <c r="DQ177" s="258"/>
      <c r="DR177" s="258"/>
      <c r="DS177" s="258"/>
      <c r="DT177" s="258"/>
      <c r="DU177" s="258"/>
      <c r="DV177" s="258"/>
      <c r="DW177" s="258"/>
      <c r="DX177" s="258"/>
      <c r="DY177" s="258"/>
      <c r="DZ177" s="258"/>
      <c r="EA177" s="258"/>
      <c r="EB177" s="258"/>
      <c r="EC177" s="258"/>
      <c r="FB177" s="310"/>
      <c r="FC177" s="310"/>
      <c r="FD177" s="310"/>
      <c r="FE177" s="310"/>
      <c r="FF177" s="310"/>
      <c r="FG177" s="310"/>
      <c r="FH177" s="310"/>
      <c r="FI177" s="310"/>
      <c r="FJ177" s="310"/>
      <c r="FK177" s="310"/>
      <c r="FM177" s="310"/>
      <c r="FN177" s="310"/>
      <c r="FO177" s="310"/>
      <c r="FP177" s="310"/>
      <c r="FQ177" s="310"/>
      <c r="FR177" s="310"/>
      <c r="FS177" s="310"/>
      <c r="FT177" s="310"/>
      <c r="FU177" s="126"/>
      <c r="FV177" s="126"/>
      <c r="FW177" s="126"/>
      <c r="FX177" s="126"/>
      <c r="FY177" s="126"/>
      <c r="FZ177" s="126"/>
      <c r="GA177" s="126"/>
      <c r="GB177" s="126"/>
      <c r="GC177" s="126"/>
      <c r="GD177" s="126"/>
    </row>
    <row r="178" spans="1:187" s="118" customFormat="1" ht="13.5" customHeight="1" x14ac:dyDescent="0.2">
      <c r="B178" s="310" t="s">
        <v>169</v>
      </c>
      <c r="C178" s="122"/>
      <c r="D178" s="122"/>
      <c r="E178" s="122"/>
      <c r="F178" s="123"/>
      <c r="G178" s="123"/>
      <c r="H178" s="123"/>
      <c r="I178" s="123"/>
      <c r="J178" s="249" t="s">
        <v>58</v>
      </c>
      <c r="K178" s="249" t="s">
        <v>59</v>
      </c>
      <c r="L178" s="249" t="s">
        <v>60</v>
      </c>
      <c r="M178" s="123"/>
      <c r="N178" s="304" t="s">
        <v>61</v>
      </c>
      <c r="O178" s="305"/>
      <c r="P178" s="305"/>
      <c r="Q178" s="306"/>
      <c r="R178" s="124"/>
      <c r="S178" s="244" t="s">
        <v>17</v>
      </c>
      <c r="T178" s="123"/>
      <c r="U178" s="455" t="s">
        <v>62</v>
      </c>
      <c r="V178" s="469"/>
      <c r="W178" s="470"/>
      <c r="X178" s="122"/>
      <c r="Y178" s="325"/>
      <c r="Z178" s="326"/>
      <c r="AA178" s="326"/>
      <c r="AB178" s="326"/>
      <c r="AC178" s="124"/>
      <c r="AD178" s="325"/>
      <c r="AE178" s="326"/>
      <c r="AF178" s="326"/>
      <c r="AG178" s="326"/>
      <c r="AH178" s="124"/>
      <c r="AI178" s="325"/>
      <c r="AJ178" s="326"/>
      <c r="AK178" s="326"/>
      <c r="AL178" s="326"/>
      <c r="AM178" s="124"/>
      <c r="AN178" s="325"/>
      <c r="AO178" s="326"/>
      <c r="AP178" s="326"/>
      <c r="AQ178" s="326"/>
      <c r="AR178" s="124"/>
      <c r="AS178" s="325"/>
      <c r="AT178" s="326"/>
      <c r="AU178" s="326"/>
      <c r="AV178" s="326"/>
      <c r="AW178" s="124"/>
      <c r="AX178" s="325"/>
      <c r="AY178" s="326"/>
      <c r="AZ178" s="326"/>
      <c r="BA178" s="326"/>
      <c r="BB178" s="124"/>
      <c r="BC178" s="325"/>
      <c r="BD178" s="326"/>
      <c r="BE178" s="326"/>
      <c r="BF178" s="326"/>
      <c r="BG178" s="124"/>
      <c r="BH178" s="325"/>
      <c r="BI178" s="326"/>
      <c r="BJ178" s="326"/>
      <c r="BK178" s="326"/>
      <c r="BL178" s="124"/>
      <c r="BM178" s="325"/>
      <c r="BN178" s="326"/>
      <c r="BO178" s="326"/>
      <c r="BP178" s="326"/>
      <c r="BQ178" s="124"/>
      <c r="BR178" s="325"/>
      <c r="BS178" s="326"/>
      <c r="BT178" s="326"/>
      <c r="BU178" s="326"/>
      <c r="BV178" s="124"/>
      <c r="BW178" s="325"/>
      <c r="BX178" s="326"/>
      <c r="BY178" s="326"/>
      <c r="BZ178" s="326"/>
      <c r="CA178" s="124"/>
      <c r="CB178" s="325"/>
      <c r="CC178" s="326"/>
      <c r="CD178" s="326"/>
      <c r="CE178" s="326"/>
      <c r="CF178" s="124"/>
      <c r="CG178" s="325"/>
      <c r="CH178" s="326"/>
      <c r="CI178" s="326"/>
      <c r="CJ178" s="326"/>
      <c r="CK178" s="124"/>
      <c r="CL178" s="325"/>
      <c r="CM178" s="326"/>
      <c r="CN178" s="326"/>
      <c r="CO178" s="326"/>
      <c r="CP178" s="124"/>
      <c r="CQ178" s="325"/>
      <c r="CR178" s="326"/>
      <c r="CS178" s="326"/>
      <c r="CT178" s="326"/>
      <c r="CU178" s="124"/>
      <c r="CV178" s="325"/>
      <c r="CW178" s="326"/>
      <c r="CX178" s="326"/>
      <c r="CY178" s="326"/>
      <c r="CZ178" s="124"/>
      <c r="DA178" s="325"/>
      <c r="DB178" s="326"/>
      <c r="DC178" s="326"/>
      <c r="DD178" s="326"/>
      <c r="DE178" s="124" t="s">
        <v>19</v>
      </c>
      <c r="DF178" s="325"/>
      <c r="DG178" s="326"/>
      <c r="DH178" s="326"/>
      <c r="DI178" s="326"/>
      <c r="DJ178" s="124" t="s">
        <v>19</v>
      </c>
      <c r="DK178" s="325"/>
      <c r="DL178" s="326"/>
      <c r="DM178" s="326"/>
      <c r="DN178" s="326"/>
      <c r="DO178" s="124" t="s">
        <v>19</v>
      </c>
      <c r="DP178" s="325"/>
      <c r="DQ178" s="326"/>
      <c r="DR178" s="326"/>
      <c r="DS178" s="326"/>
      <c r="DT178" s="124" t="s">
        <v>19</v>
      </c>
      <c r="DU178" s="309"/>
      <c r="DV178" s="307"/>
      <c r="DW178" s="307"/>
      <c r="DX178" s="307"/>
      <c r="DY178" s="124"/>
      <c r="DZ178" s="309"/>
      <c r="EA178" s="307"/>
      <c r="EB178" s="307"/>
      <c r="EC178" s="307"/>
      <c r="ED178" s="307"/>
      <c r="EE178" s="309"/>
      <c r="EF178" s="307"/>
      <c r="EG178" s="307"/>
      <c r="EH178" s="307"/>
      <c r="EI178" s="307"/>
      <c r="EJ178" s="309"/>
      <c r="EK178" s="307"/>
      <c r="EL178" s="307"/>
      <c r="EM178" s="307"/>
      <c r="EN178" s="307"/>
      <c r="EO178" s="309"/>
      <c r="EP178" s="307"/>
      <c r="EQ178" s="307"/>
      <c r="ER178" s="307"/>
      <c r="ES178" s="307"/>
      <c r="ET178" s="309"/>
      <c r="EU178" s="307"/>
      <c r="EV178" s="307"/>
      <c r="EW178" s="307"/>
      <c r="FB178" s="464" t="s">
        <v>145</v>
      </c>
      <c r="FC178" s="471"/>
      <c r="FD178" s="471"/>
      <c r="FE178" s="471"/>
      <c r="FF178" s="471"/>
      <c r="FG178" s="471"/>
      <c r="FH178" s="471"/>
      <c r="FI178" s="472"/>
      <c r="FJ178" s="118" t="s">
        <v>19</v>
      </c>
      <c r="FK178" s="245" t="s">
        <v>20</v>
      </c>
      <c r="FM178" s="310"/>
      <c r="FN178" s="310"/>
      <c r="FO178" s="310"/>
      <c r="FP178" s="310"/>
      <c r="FQ178" s="310"/>
      <c r="FR178" s="310"/>
      <c r="FS178" s="310"/>
      <c r="FT178" s="310"/>
      <c r="FU178" s="126"/>
      <c r="FV178" s="126"/>
      <c r="FW178" s="126"/>
      <c r="FX178" s="126"/>
      <c r="FY178" s="126"/>
      <c r="FZ178" s="126"/>
      <c r="GA178" s="126"/>
      <c r="GB178" s="126"/>
      <c r="GC178" s="126"/>
      <c r="GD178" s="126"/>
    </row>
    <row r="179" spans="1:187" s="118" customFormat="1" ht="13.5" customHeight="1" x14ac:dyDescent="0.2">
      <c r="B179" s="205" t="s">
        <v>85</v>
      </c>
      <c r="C179" s="248"/>
      <c r="D179" s="248" t="s">
        <v>22</v>
      </c>
      <c r="E179" s="248"/>
      <c r="F179" s="249" t="s">
        <v>64</v>
      </c>
      <c r="G179" s="249" t="s">
        <v>65</v>
      </c>
      <c r="H179" s="249" t="s">
        <v>25</v>
      </c>
      <c r="I179" s="249" t="s">
        <v>66</v>
      </c>
      <c r="J179" s="249" t="s">
        <v>67</v>
      </c>
      <c r="K179" s="249" t="s">
        <v>68</v>
      </c>
      <c r="L179" s="249" t="s">
        <v>27</v>
      </c>
      <c r="M179" s="128"/>
      <c r="N179" s="249" t="s">
        <v>64</v>
      </c>
      <c r="O179" s="249" t="s">
        <v>65</v>
      </c>
      <c r="P179" s="249" t="s">
        <v>69</v>
      </c>
      <c r="Q179" s="249" t="s">
        <v>66</v>
      </c>
      <c r="R179" s="124"/>
      <c r="S179" s="252" t="s">
        <v>28</v>
      </c>
      <c r="T179" s="327"/>
      <c r="U179" s="253" t="s">
        <v>68</v>
      </c>
      <c r="V179" s="332" t="s">
        <v>27</v>
      </c>
      <c r="W179" s="333" t="s">
        <v>29</v>
      </c>
      <c r="X179" s="122"/>
      <c r="Y179" s="249" t="s">
        <v>64</v>
      </c>
      <c r="Z179" s="249" t="s">
        <v>65</v>
      </c>
      <c r="AA179" s="249" t="s">
        <v>69</v>
      </c>
      <c r="AB179" s="249" t="s">
        <v>66</v>
      </c>
      <c r="AC179" s="262"/>
      <c r="AD179" s="249" t="s">
        <v>64</v>
      </c>
      <c r="AE179" s="249" t="s">
        <v>65</v>
      </c>
      <c r="AF179" s="249" t="s">
        <v>69</v>
      </c>
      <c r="AG179" s="249" t="s">
        <v>66</v>
      </c>
      <c r="AH179" s="262"/>
      <c r="AI179" s="249" t="s">
        <v>64</v>
      </c>
      <c r="AJ179" s="249" t="s">
        <v>65</v>
      </c>
      <c r="AK179" s="249" t="s">
        <v>69</v>
      </c>
      <c r="AL179" s="249" t="s">
        <v>66</v>
      </c>
      <c r="AM179" s="262"/>
      <c r="AN179" s="249" t="s">
        <v>64</v>
      </c>
      <c r="AO179" s="249" t="s">
        <v>65</v>
      </c>
      <c r="AP179" s="249" t="s">
        <v>69</v>
      </c>
      <c r="AQ179" s="249" t="s">
        <v>66</v>
      </c>
      <c r="AR179" s="262"/>
      <c r="AS179" s="249" t="s">
        <v>64</v>
      </c>
      <c r="AT179" s="249" t="s">
        <v>65</v>
      </c>
      <c r="AU179" s="249" t="s">
        <v>69</v>
      </c>
      <c r="AV179" s="249" t="s">
        <v>66</v>
      </c>
      <c r="AW179" s="262"/>
      <c r="AX179" s="249" t="s">
        <v>64</v>
      </c>
      <c r="AY179" s="249" t="s">
        <v>65</v>
      </c>
      <c r="AZ179" s="249" t="s">
        <v>69</v>
      </c>
      <c r="BA179" s="249" t="s">
        <v>66</v>
      </c>
      <c r="BB179" s="262"/>
      <c r="BC179" s="249" t="s">
        <v>64</v>
      </c>
      <c r="BD179" s="249" t="s">
        <v>65</v>
      </c>
      <c r="BE179" s="249" t="s">
        <v>69</v>
      </c>
      <c r="BF179" s="249" t="s">
        <v>66</v>
      </c>
      <c r="BG179" s="262"/>
      <c r="BH179" s="249" t="s">
        <v>64</v>
      </c>
      <c r="BI179" s="249" t="s">
        <v>65</v>
      </c>
      <c r="BJ179" s="249" t="s">
        <v>69</v>
      </c>
      <c r="BK179" s="249" t="s">
        <v>66</v>
      </c>
      <c r="BL179" s="262"/>
      <c r="BM179" s="249" t="s">
        <v>64</v>
      </c>
      <c r="BN179" s="249" t="s">
        <v>65</v>
      </c>
      <c r="BO179" s="249" t="s">
        <v>69</v>
      </c>
      <c r="BP179" s="249" t="s">
        <v>66</v>
      </c>
      <c r="BQ179" s="262"/>
      <c r="BR179" s="249" t="s">
        <v>64</v>
      </c>
      <c r="BS179" s="249" t="s">
        <v>65</v>
      </c>
      <c r="BT179" s="249" t="s">
        <v>69</v>
      </c>
      <c r="BU179" s="249" t="s">
        <v>66</v>
      </c>
      <c r="BV179" s="262"/>
      <c r="BW179" s="249" t="s">
        <v>64</v>
      </c>
      <c r="BX179" s="249" t="s">
        <v>65</v>
      </c>
      <c r="BY179" s="249" t="s">
        <v>69</v>
      </c>
      <c r="BZ179" s="249" t="s">
        <v>66</v>
      </c>
      <c r="CA179" s="262"/>
      <c r="CB179" s="249" t="s">
        <v>64</v>
      </c>
      <c r="CC179" s="249" t="s">
        <v>65</v>
      </c>
      <c r="CD179" s="249" t="s">
        <v>69</v>
      </c>
      <c r="CE179" s="249" t="s">
        <v>66</v>
      </c>
      <c r="CF179" s="262"/>
      <c r="CG179" s="249" t="s">
        <v>64</v>
      </c>
      <c r="CH179" s="249" t="s">
        <v>65</v>
      </c>
      <c r="CI179" s="249" t="s">
        <v>69</v>
      </c>
      <c r="CJ179" s="249" t="s">
        <v>66</v>
      </c>
      <c r="CK179" s="262"/>
      <c r="CL179" s="249" t="s">
        <v>64</v>
      </c>
      <c r="CM179" s="249" t="s">
        <v>65</v>
      </c>
      <c r="CN179" s="249" t="s">
        <v>69</v>
      </c>
      <c r="CO179" s="249" t="s">
        <v>66</v>
      </c>
      <c r="CP179" s="262"/>
      <c r="CQ179" s="249" t="s">
        <v>64</v>
      </c>
      <c r="CR179" s="249" t="s">
        <v>65</v>
      </c>
      <c r="CS179" s="249" t="s">
        <v>69</v>
      </c>
      <c r="CT179" s="249" t="s">
        <v>66</v>
      </c>
      <c r="CU179" s="262"/>
      <c r="CV179" s="249"/>
      <c r="CW179" s="249"/>
      <c r="CX179" s="249"/>
      <c r="CY179" s="249"/>
      <c r="CZ179" s="262"/>
      <c r="DA179" s="249" t="s">
        <v>64</v>
      </c>
      <c r="DB179" s="249" t="s">
        <v>65</v>
      </c>
      <c r="DC179" s="249" t="s">
        <v>69</v>
      </c>
      <c r="DD179" s="249" t="s">
        <v>66</v>
      </c>
      <c r="DE179" s="262"/>
      <c r="DF179" s="249" t="s">
        <v>64</v>
      </c>
      <c r="DG179" s="249" t="s">
        <v>65</v>
      </c>
      <c r="DH179" s="249" t="s">
        <v>69</v>
      </c>
      <c r="DI179" s="249" t="s">
        <v>66</v>
      </c>
      <c r="DJ179" s="262"/>
      <c r="DK179" s="249" t="s">
        <v>64</v>
      </c>
      <c r="DL179" s="249" t="s">
        <v>65</v>
      </c>
      <c r="DM179" s="249" t="s">
        <v>69</v>
      </c>
      <c r="DN179" s="249" t="s">
        <v>66</v>
      </c>
      <c r="DO179" s="262"/>
      <c r="DP179" s="249" t="s">
        <v>64</v>
      </c>
      <c r="DQ179" s="249" t="s">
        <v>65</v>
      </c>
      <c r="DR179" s="249" t="s">
        <v>69</v>
      </c>
      <c r="DS179" s="249" t="s">
        <v>66</v>
      </c>
      <c r="DT179" s="262"/>
      <c r="DU179" s="312"/>
      <c r="DV179" s="312"/>
      <c r="DW179" s="312"/>
      <c r="DX179" s="312"/>
      <c r="DY179" s="124"/>
      <c r="DZ179" s="312"/>
      <c r="EA179" s="312"/>
      <c r="EB179" s="312"/>
      <c r="EC179" s="312"/>
      <c r="ED179" s="313"/>
      <c r="EE179" s="314" t="s">
        <v>64</v>
      </c>
      <c r="EF179" s="314" t="s">
        <v>65</v>
      </c>
      <c r="EG179" s="314" t="s">
        <v>69</v>
      </c>
      <c r="EH179" s="314" t="s">
        <v>66</v>
      </c>
      <c r="EI179" s="313"/>
      <c r="EJ179" s="314" t="s">
        <v>64</v>
      </c>
      <c r="EK179" s="314" t="s">
        <v>65</v>
      </c>
      <c r="EL179" s="314" t="s">
        <v>69</v>
      </c>
      <c r="EM179" s="314" t="s">
        <v>66</v>
      </c>
      <c r="EN179" s="313"/>
      <c r="EO179" s="314" t="s">
        <v>64</v>
      </c>
      <c r="EP179" s="314" t="s">
        <v>65</v>
      </c>
      <c r="EQ179" s="314" t="s">
        <v>69</v>
      </c>
      <c r="ER179" s="314" t="s">
        <v>66</v>
      </c>
      <c r="ES179" s="313"/>
      <c r="ET179" s="314" t="s">
        <v>64</v>
      </c>
      <c r="EU179" s="314" t="s">
        <v>65</v>
      </c>
      <c r="EV179" s="314" t="s">
        <v>69</v>
      </c>
      <c r="EW179" s="314" t="s">
        <v>66</v>
      </c>
      <c r="FB179" s="256" t="s">
        <v>22</v>
      </c>
      <c r="FC179" s="256" t="s">
        <v>64</v>
      </c>
      <c r="FD179" s="256" t="s">
        <v>65</v>
      </c>
      <c r="FE179" s="256" t="s">
        <v>69</v>
      </c>
      <c r="FF179" s="256" t="s">
        <v>66</v>
      </c>
      <c r="FG179" s="256" t="s">
        <v>67</v>
      </c>
      <c r="FH179" s="256" t="s">
        <v>68</v>
      </c>
      <c r="FI179" s="256" t="s">
        <v>27</v>
      </c>
      <c r="FJ179" s="118" t="s">
        <v>19</v>
      </c>
      <c r="FK179" s="256" t="s">
        <v>30</v>
      </c>
      <c r="FL179" s="118" t="s">
        <v>19</v>
      </c>
      <c r="FM179" s="310"/>
      <c r="FN179" s="310"/>
      <c r="FO179" s="310"/>
      <c r="FP179" s="310"/>
      <c r="FQ179" s="310"/>
      <c r="FR179" s="310"/>
      <c r="FS179" s="310"/>
      <c r="FT179" s="310"/>
      <c r="FU179" s="126"/>
      <c r="FV179" s="126"/>
      <c r="FW179" s="126"/>
      <c r="FX179" s="126"/>
      <c r="FY179" s="126"/>
      <c r="FZ179" s="126"/>
      <c r="GA179" s="126"/>
      <c r="GB179" s="126"/>
      <c r="GC179" s="126"/>
      <c r="GD179" s="126"/>
    </row>
    <row r="180" spans="1:187" s="118" customFormat="1" ht="13.5" customHeight="1" x14ac:dyDescent="0.2">
      <c r="B180" s="131" t="s">
        <v>90</v>
      </c>
      <c r="C180" s="257" t="s">
        <v>32</v>
      </c>
      <c r="D180" s="132">
        <v>0</v>
      </c>
      <c r="E180" s="133"/>
      <c r="F180" s="316">
        <f t="shared" ref="F180:F205" si="146">SUM(Y180,AD180,AI180,AN180,AX180,AS180,BC180,BH180,BM180,BR180,BW180,CB180,CG180,CL180,CQ180,DA180,DF180,DK180,DP180,DU180,DZ180,EE180,EJ180,EO180,ET180)</f>
        <v>0</v>
      </c>
      <c r="G180" s="316">
        <f t="shared" ref="G180:G205" si="147">SUM(Z180,AE180,AJ180,AO180,AY180,AT180,BD180,BI180,BN180,BS180,BX180,CC180,CH180,CM180,CR180,DB180,DG180,DL180,DQ180,DV180,EA180,EF180,EK180,EP180,EU180)</f>
        <v>0</v>
      </c>
      <c r="H180" s="316">
        <f t="shared" ref="H180:H205" si="148">SUM(AA180,AF180,AK180,AP180,AZ180,AU180,BE180,BJ180,BO180,BT180,BY180,CD180,CI180,CN180,CS180,DC180,DH180,DM180,DR180,DW180,EB180,EG180,EL180,EQ180,EV180)</f>
        <v>0</v>
      </c>
      <c r="I180" s="316">
        <f t="shared" ref="I180:I205" si="149">SUM(AB180,AG180,AL180,AQ180,BA180,AV180,BF180,BK180,BP180,BU180,BZ180,CE180,CJ180,CO180,CT180,DD180,DI180,DN180,DS180,DX180,EC180,EH180,EM180,ER180,EW180)</f>
        <v>0</v>
      </c>
      <c r="J180" s="315" t="str">
        <f t="shared" ref="J180:J205" si="150">IF(I180=0,"-",F180/I180)</f>
        <v>-</v>
      </c>
      <c r="K180" s="315" t="str">
        <f t="shared" ref="K180:K205" si="151">IF(F180=0,"-",H180/F180)</f>
        <v>-</v>
      </c>
      <c r="L180" s="317" t="str">
        <f t="shared" ref="L180:L205" si="152">IF(I180=0,"-",H180/I180)</f>
        <v>-</v>
      </c>
      <c r="M180" s="134"/>
      <c r="N180" s="132"/>
      <c r="O180" s="133"/>
      <c r="P180" s="133"/>
      <c r="Q180" s="133"/>
      <c r="R180" s="124"/>
      <c r="S180" s="318">
        <f>I180*20-(H180/5)</f>
        <v>0</v>
      </c>
      <c r="T180" s="134"/>
      <c r="U180" s="261">
        <f>IF(FC180="-",H180/F180,(FE180+H180)/(FC180+F180))</f>
        <v>7.666666666666667</v>
      </c>
      <c r="V180" s="261">
        <f>IF(FC180="-",IF(I180=0,H180,H180/I180),IF(FF180+I180=0,FE180+H180,(FE180+H180)/(FF180+I180)))</f>
        <v>46</v>
      </c>
      <c r="W180" s="135" t="str">
        <f t="shared" ref="W180:W205" si="153">IF(FC180="-",IF(F180&lt;30,FK180,((IF(V180&gt;30,1,IF(V180&gt;25,2,IF(V180&gt;20,3,IF(V180&gt;15,4,IF(V180&gt;=0,5,0))))))+(IF(U180&gt;6,1,IF(U180&gt;5.5,2,IF(U180&gt;5,3,IF(U180&gt;4.5,4,IF(U180&gt;=0,5,0)))))))/2),IF(FC180+F180&lt;30,FK180,((IF(V180&gt;30,1,IF(V180&gt;25,2,IF(V180&gt;20,3,IF(V180&gt;15,4,IF(V180&gt;=0,5,0))))))+(IF(U180&gt;6,1,IF(U180&gt;5.5,2,IF(U180&gt;5,3,IF(U180&gt;4.5,4,IF(U180&gt;=0,5,0)))))))/2))</f>
        <v>3</v>
      </c>
      <c r="X180" s="122"/>
      <c r="Y180" s="261"/>
      <c r="Z180" s="133"/>
      <c r="AA180" s="133"/>
      <c r="AB180" s="133"/>
      <c r="AC180" s="319"/>
      <c r="AD180" s="261"/>
      <c r="AE180" s="133"/>
      <c r="AF180" s="133"/>
      <c r="AG180" s="133"/>
      <c r="AH180" s="319"/>
      <c r="AI180" s="261"/>
      <c r="AJ180" s="133"/>
      <c r="AK180" s="133"/>
      <c r="AL180" s="133"/>
      <c r="AM180" s="319"/>
      <c r="AN180" s="261"/>
      <c r="AO180" s="133"/>
      <c r="AP180" s="133"/>
      <c r="AQ180" s="133"/>
      <c r="AR180" s="319"/>
      <c r="AS180" s="261"/>
      <c r="AT180" s="133"/>
      <c r="AU180" s="133"/>
      <c r="AV180" s="133"/>
      <c r="AW180" s="319"/>
      <c r="AX180" s="261"/>
      <c r="AY180" s="133"/>
      <c r="AZ180" s="133"/>
      <c r="BA180" s="133"/>
      <c r="BB180" s="319"/>
      <c r="BC180" s="261"/>
      <c r="BD180" s="133"/>
      <c r="BE180" s="133"/>
      <c r="BF180" s="133"/>
      <c r="BG180" s="319"/>
      <c r="BH180" s="261"/>
      <c r="BI180" s="133"/>
      <c r="BJ180" s="133"/>
      <c r="BK180" s="133"/>
      <c r="BL180" s="319"/>
      <c r="BM180" s="261"/>
      <c r="BN180" s="133"/>
      <c r="BO180" s="133"/>
      <c r="BP180" s="133"/>
      <c r="BQ180" s="319"/>
      <c r="BR180" s="261"/>
      <c r="BS180" s="133"/>
      <c r="BT180" s="133"/>
      <c r="BU180" s="133"/>
      <c r="BV180" s="319"/>
      <c r="BW180" s="261"/>
      <c r="BX180" s="133"/>
      <c r="BY180" s="133"/>
      <c r="BZ180" s="133"/>
      <c r="CA180" s="319"/>
      <c r="CB180" s="261"/>
      <c r="CC180" s="133"/>
      <c r="CD180" s="133"/>
      <c r="CE180" s="133"/>
      <c r="CF180" s="319"/>
      <c r="CG180" s="261"/>
      <c r="CH180" s="133"/>
      <c r="CI180" s="133"/>
      <c r="CJ180" s="133"/>
      <c r="CK180" s="319"/>
      <c r="CL180" s="261"/>
      <c r="CM180" s="133"/>
      <c r="CN180" s="133"/>
      <c r="CO180" s="133"/>
      <c r="CP180" s="319"/>
      <c r="CQ180" s="261"/>
      <c r="CR180" s="133"/>
      <c r="CS180" s="133"/>
      <c r="CT180" s="133"/>
      <c r="CU180" s="319"/>
      <c r="CV180" s="261"/>
      <c r="CW180" s="133"/>
      <c r="CX180" s="133"/>
      <c r="CY180" s="133"/>
      <c r="CZ180" s="319"/>
      <c r="DA180" s="261"/>
      <c r="DB180" s="133"/>
      <c r="DC180" s="133"/>
      <c r="DD180" s="133"/>
      <c r="DE180" s="319"/>
      <c r="DF180" s="261"/>
      <c r="DG180" s="133"/>
      <c r="DH180" s="133"/>
      <c r="DI180" s="133"/>
      <c r="DJ180" s="319"/>
      <c r="DK180" s="261"/>
      <c r="DL180" s="133"/>
      <c r="DM180" s="133"/>
      <c r="DN180" s="133"/>
      <c r="DO180" s="319"/>
      <c r="DP180" s="261"/>
      <c r="DQ180" s="133"/>
      <c r="DR180" s="133"/>
      <c r="DS180" s="133"/>
      <c r="DT180" s="319"/>
      <c r="DU180" s="307"/>
      <c r="DV180" s="307"/>
      <c r="DW180" s="307"/>
      <c r="DX180" s="307"/>
      <c r="DY180" s="319"/>
      <c r="DZ180" s="307"/>
      <c r="EA180" s="307"/>
      <c r="EB180" s="307"/>
      <c r="EC180" s="307"/>
      <c r="ED180" s="313"/>
      <c r="EE180" s="307"/>
      <c r="EF180" s="307"/>
      <c r="EG180" s="307"/>
      <c r="EH180" s="307"/>
      <c r="EI180" s="313"/>
      <c r="EJ180" s="307"/>
      <c r="EK180" s="307"/>
      <c r="EL180" s="307"/>
      <c r="EM180" s="307"/>
      <c r="EN180" s="313"/>
      <c r="EO180" s="307"/>
      <c r="EP180" s="307"/>
      <c r="EQ180" s="307"/>
      <c r="ER180" s="307"/>
      <c r="ES180" s="313"/>
      <c r="ET180" s="307"/>
      <c r="EU180" s="307"/>
      <c r="EV180" s="307"/>
      <c r="EW180" s="307"/>
      <c r="FB180" s="261"/>
      <c r="FC180" s="261">
        <v>6</v>
      </c>
      <c r="FD180" s="153">
        <v>0</v>
      </c>
      <c r="FE180" s="153">
        <v>46</v>
      </c>
      <c r="FF180" s="153">
        <v>1</v>
      </c>
      <c r="FG180" s="315">
        <f>IF(OR(FC180="-",FF180=0),"-",FC180/FF180)</f>
        <v>6</v>
      </c>
      <c r="FH180" s="315">
        <f>IF(FC180="-","-",FE180/FC180)</f>
        <v>7.666666666666667</v>
      </c>
      <c r="FI180" s="317">
        <f>IF(OR(FC180="-",FF180=0),FE180,FE180/FF180)</f>
        <v>46</v>
      </c>
      <c r="FK180" s="271" t="s">
        <v>88</v>
      </c>
      <c r="FM180" s="126"/>
      <c r="FN180" s="126"/>
      <c r="FO180" s="126"/>
      <c r="FP180" s="126"/>
      <c r="FQ180" s="126"/>
      <c r="FR180" s="126"/>
      <c r="FS180" s="126"/>
      <c r="FT180" s="126"/>
      <c r="FU180" s="126"/>
      <c r="FV180" s="126"/>
      <c r="FW180" s="126"/>
      <c r="FX180" s="126"/>
      <c r="FY180" s="126"/>
      <c r="FZ180" s="126"/>
      <c r="GA180" s="126"/>
      <c r="GB180" s="126"/>
      <c r="GC180" s="126"/>
      <c r="GD180" s="126"/>
      <c r="GE180" s="126"/>
    </row>
    <row r="181" spans="1:187" s="118" customFormat="1" ht="13.5" customHeight="1" x14ac:dyDescent="0.2">
      <c r="B181" s="131" t="s">
        <v>86</v>
      </c>
      <c r="C181" s="334" t="s">
        <v>38</v>
      </c>
      <c r="D181" s="132">
        <v>0</v>
      </c>
      <c r="E181" s="133"/>
      <c r="F181" s="316">
        <f t="shared" si="146"/>
        <v>0</v>
      </c>
      <c r="G181" s="316">
        <f t="shared" si="147"/>
        <v>0</v>
      </c>
      <c r="H181" s="316">
        <f t="shared" si="148"/>
        <v>0</v>
      </c>
      <c r="I181" s="316">
        <f t="shared" si="149"/>
        <v>0</v>
      </c>
      <c r="J181" s="315" t="str">
        <f t="shared" si="150"/>
        <v>-</v>
      </c>
      <c r="K181" s="315" t="str">
        <f t="shared" si="151"/>
        <v>-</v>
      </c>
      <c r="L181" s="317" t="str">
        <f t="shared" si="152"/>
        <v>-</v>
      </c>
      <c r="M181" s="134"/>
      <c r="N181" s="132"/>
      <c r="O181" s="133"/>
      <c r="P181" s="133"/>
      <c r="Q181" s="133"/>
      <c r="R181" s="124"/>
      <c r="S181" s="318">
        <f>I181*20-(H181/5)</f>
        <v>0</v>
      </c>
      <c r="T181" s="134"/>
      <c r="U181" s="261">
        <f>IF(FC181="-",H181/F181,(FE181+H181)/(FC181+F181))</f>
        <v>4.8659793814432986</v>
      </c>
      <c r="V181" s="261">
        <f>IF(FC181="-",IF(I181=0,H181,H181/I181),IF(FF181+I181=0,FE181+H181,(FE181+H181)/(FF181+I181)))</f>
        <v>25.285714285714285</v>
      </c>
      <c r="W181" s="135">
        <f t="shared" si="153"/>
        <v>3</v>
      </c>
      <c r="X181" s="122"/>
      <c r="Y181" s="153"/>
      <c r="Z181" s="133"/>
      <c r="AA181" s="133"/>
      <c r="AB181" s="133"/>
      <c r="AC181" s="292"/>
      <c r="AD181" s="153"/>
      <c r="AE181" s="133"/>
      <c r="AF181" s="133"/>
      <c r="AG181" s="133"/>
      <c r="AH181" s="292"/>
      <c r="AI181" s="153"/>
      <c r="AJ181" s="133"/>
      <c r="AK181" s="133"/>
      <c r="AL181" s="133"/>
      <c r="AM181" s="292"/>
      <c r="AN181" s="153"/>
      <c r="AO181" s="133"/>
      <c r="AP181" s="133"/>
      <c r="AQ181" s="133"/>
      <c r="AR181" s="292"/>
      <c r="AS181" s="153"/>
      <c r="AT181" s="133"/>
      <c r="AU181" s="133"/>
      <c r="AV181" s="133"/>
      <c r="AW181" s="292"/>
      <c r="AX181" s="153"/>
      <c r="AY181" s="133"/>
      <c r="AZ181" s="133"/>
      <c r="BA181" s="133"/>
      <c r="BB181" s="292"/>
      <c r="BC181" s="153"/>
      <c r="BD181" s="133"/>
      <c r="BE181" s="133"/>
      <c r="BF181" s="133"/>
      <c r="BG181" s="292"/>
      <c r="BH181" s="153"/>
      <c r="BI181" s="133"/>
      <c r="BJ181" s="133"/>
      <c r="BK181" s="133"/>
      <c r="BL181" s="292"/>
      <c r="BM181" s="153"/>
      <c r="BN181" s="133"/>
      <c r="BO181" s="133"/>
      <c r="BP181" s="133"/>
      <c r="BQ181" s="292"/>
      <c r="BR181" s="153"/>
      <c r="BS181" s="133"/>
      <c r="BT181" s="133"/>
      <c r="BU181" s="133"/>
      <c r="BV181" s="292"/>
      <c r="BW181" s="153"/>
      <c r="BX181" s="133"/>
      <c r="BY181" s="133"/>
      <c r="BZ181" s="133"/>
      <c r="CA181" s="292"/>
      <c r="CB181" s="153"/>
      <c r="CC181" s="133"/>
      <c r="CD181" s="133"/>
      <c r="CE181" s="133"/>
      <c r="CF181" s="292"/>
      <c r="CG181" s="153"/>
      <c r="CH181" s="133"/>
      <c r="CI181" s="133"/>
      <c r="CJ181" s="133"/>
      <c r="CK181" s="292"/>
      <c r="CL181" s="153"/>
      <c r="CM181" s="133"/>
      <c r="CN181" s="133"/>
      <c r="CO181" s="133"/>
      <c r="CP181" s="292"/>
      <c r="CQ181" s="153"/>
      <c r="CR181" s="133"/>
      <c r="CS181" s="133"/>
      <c r="CT181" s="133"/>
      <c r="CU181" s="292"/>
      <c r="CV181" s="153"/>
      <c r="CW181" s="133"/>
      <c r="CX181" s="133"/>
      <c r="CY181" s="133"/>
      <c r="CZ181" s="292"/>
      <c r="DA181" s="153"/>
      <c r="DB181" s="133"/>
      <c r="DC181" s="133"/>
      <c r="DD181" s="133"/>
      <c r="DE181" s="292"/>
      <c r="DF181" s="153"/>
      <c r="DG181" s="133"/>
      <c r="DH181" s="133"/>
      <c r="DI181" s="133"/>
      <c r="DJ181" s="292"/>
      <c r="DK181" s="153"/>
      <c r="DL181" s="133"/>
      <c r="DM181" s="133"/>
      <c r="DN181" s="133"/>
      <c r="DO181" s="292"/>
      <c r="DP181" s="153"/>
      <c r="DQ181" s="133"/>
      <c r="DR181" s="133"/>
      <c r="DS181" s="133"/>
      <c r="DT181" s="292"/>
      <c r="DU181" s="307"/>
      <c r="DV181" s="307"/>
      <c r="DW181" s="307"/>
      <c r="DX181" s="307"/>
      <c r="DY181" s="292"/>
      <c r="DZ181" s="307"/>
      <c r="EA181" s="307"/>
      <c r="EB181" s="307"/>
      <c r="EC181" s="307"/>
      <c r="ED181" s="313"/>
      <c r="EE181" s="307"/>
      <c r="EF181" s="307"/>
      <c r="EG181" s="307"/>
      <c r="EH181" s="307"/>
      <c r="EI181" s="313"/>
      <c r="EJ181" s="307"/>
      <c r="EK181" s="307"/>
      <c r="EL181" s="307"/>
      <c r="EM181" s="307"/>
      <c r="EN181" s="313"/>
      <c r="EO181" s="307"/>
      <c r="EP181" s="307"/>
      <c r="EQ181" s="307"/>
      <c r="ER181" s="307"/>
      <c r="ES181" s="313"/>
      <c r="ET181" s="307"/>
      <c r="EU181" s="307"/>
      <c r="EV181" s="307"/>
      <c r="EW181" s="307"/>
      <c r="FB181" s="261"/>
      <c r="FC181" s="261">
        <v>145.5</v>
      </c>
      <c r="FD181" s="153">
        <v>13</v>
      </c>
      <c r="FE181" s="153">
        <v>708</v>
      </c>
      <c r="FF181" s="153">
        <v>28</v>
      </c>
      <c r="FG181" s="315">
        <f>IF(OR(FC181="-",FF181=0),"-",FC181/FF181)</f>
        <v>5.1964285714285712</v>
      </c>
      <c r="FH181" s="315">
        <f>IF(FC181="-","-",FE181/FC181)</f>
        <v>4.8659793814432986</v>
      </c>
      <c r="FI181" s="317">
        <f>IF(OR(FC181="-",FF181=0),FE181,FE181/FF181)</f>
        <v>25.285714285714285</v>
      </c>
      <c r="FK181" s="135">
        <v>3</v>
      </c>
      <c r="FM181" s="126"/>
      <c r="FN181" s="126"/>
      <c r="FO181" s="126"/>
      <c r="FP181" s="126"/>
      <c r="FQ181" s="126"/>
      <c r="FR181" s="126"/>
      <c r="FS181" s="126"/>
      <c r="FT181" s="126"/>
      <c r="FU181" s="126"/>
      <c r="FV181" s="126"/>
      <c r="FW181" s="126"/>
      <c r="FX181" s="126"/>
      <c r="FY181" s="126"/>
      <c r="FZ181" s="126"/>
      <c r="GA181" s="126"/>
      <c r="GB181" s="126"/>
      <c r="GC181" s="126"/>
      <c r="GD181" s="126"/>
      <c r="GE181" s="126"/>
    </row>
    <row r="182" spans="1:187" s="118" customFormat="1" ht="13.5" customHeight="1" x14ac:dyDescent="0.2">
      <c r="B182" s="131" t="s">
        <v>128</v>
      </c>
      <c r="C182" s="257" t="s">
        <v>43</v>
      </c>
      <c r="D182" s="132">
        <v>1</v>
      </c>
      <c r="E182" s="133"/>
      <c r="F182" s="316">
        <f t="shared" si="146"/>
        <v>0</v>
      </c>
      <c r="G182" s="316">
        <f t="shared" si="147"/>
        <v>0</v>
      </c>
      <c r="H182" s="316">
        <f t="shared" si="148"/>
        <v>0</v>
      </c>
      <c r="I182" s="316">
        <f t="shared" si="149"/>
        <v>0</v>
      </c>
      <c r="J182" s="315" t="str">
        <f t="shared" si="150"/>
        <v>-</v>
      </c>
      <c r="K182" s="315" t="str">
        <f t="shared" si="151"/>
        <v>-</v>
      </c>
      <c r="L182" s="317" t="str">
        <f t="shared" si="152"/>
        <v>-</v>
      </c>
      <c r="M182" s="134"/>
      <c r="N182" s="153"/>
      <c r="O182" s="133"/>
      <c r="P182" s="133"/>
      <c r="Q182" s="133"/>
      <c r="R182" s="124"/>
      <c r="S182" s="318">
        <f t="shared" ref="S182:S188" si="154">(I182*20)-(H182/5)</f>
        <v>0</v>
      </c>
      <c r="T182" s="335"/>
      <c r="U182" s="261" t="s">
        <v>41</v>
      </c>
      <c r="V182" s="261" t="s">
        <v>41</v>
      </c>
      <c r="W182" s="135">
        <f t="shared" si="153"/>
        <v>0</v>
      </c>
      <c r="X182" s="122"/>
      <c r="Y182" s="153"/>
      <c r="Z182" s="133"/>
      <c r="AA182" s="133"/>
      <c r="AB182" s="133"/>
      <c r="AC182" s="292"/>
      <c r="AD182" s="153"/>
      <c r="AE182" s="133"/>
      <c r="AF182" s="133"/>
      <c r="AG182" s="133"/>
      <c r="AH182" s="292"/>
      <c r="AI182" s="153"/>
      <c r="AJ182" s="133"/>
      <c r="AK182" s="133"/>
      <c r="AL182" s="133"/>
      <c r="AM182" s="292"/>
      <c r="AN182" s="153"/>
      <c r="AO182" s="133"/>
      <c r="AP182" s="133"/>
      <c r="AQ182" s="133"/>
      <c r="AR182" s="292"/>
      <c r="AS182" s="153"/>
      <c r="AT182" s="133"/>
      <c r="AU182" s="133"/>
      <c r="AV182" s="133"/>
      <c r="AW182" s="292"/>
      <c r="AX182" s="153"/>
      <c r="AY182" s="133"/>
      <c r="AZ182" s="133"/>
      <c r="BA182" s="133"/>
      <c r="BB182" s="292"/>
      <c r="BC182" s="153"/>
      <c r="BD182" s="133"/>
      <c r="BE182" s="133"/>
      <c r="BF182" s="133"/>
      <c r="BG182" s="292"/>
      <c r="BH182" s="153"/>
      <c r="BI182" s="133"/>
      <c r="BJ182" s="133"/>
      <c r="BK182" s="133"/>
      <c r="BL182" s="292"/>
      <c r="BM182" s="153"/>
      <c r="BN182" s="133"/>
      <c r="BO182" s="133"/>
      <c r="BP182" s="133"/>
      <c r="BQ182" s="292"/>
      <c r="BR182" s="153"/>
      <c r="BS182" s="133"/>
      <c r="BT182" s="133"/>
      <c r="BU182" s="133"/>
      <c r="BV182" s="292"/>
      <c r="BW182" s="153"/>
      <c r="BX182" s="133"/>
      <c r="BY182" s="133"/>
      <c r="BZ182" s="133"/>
      <c r="CA182" s="292"/>
      <c r="CB182" s="153"/>
      <c r="CC182" s="133"/>
      <c r="CD182" s="133"/>
      <c r="CE182" s="133"/>
      <c r="CF182" s="292"/>
      <c r="CG182" s="153"/>
      <c r="CH182" s="133"/>
      <c r="CI182" s="133"/>
      <c r="CJ182" s="133"/>
      <c r="CK182" s="292"/>
      <c r="CL182" s="153"/>
      <c r="CM182" s="133"/>
      <c r="CN182" s="133"/>
      <c r="CO182" s="133"/>
      <c r="CP182" s="292"/>
      <c r="CQ182" s="153"/>
      <c r="CR182" s="133"/>
      <c r="CS182" s="133"/>
      <c r="CT182" s="133"/>
      <c r="CU182" s="292"/>
      <c r="CV182" s="153"/>
      <c r="CW182" s="133"/>
      <c r="CX182" s="133"/>
      <c r="CY182" s="133"/>
      <c r="CZ182" s="292"/>
      <c r="DA182" s="153"/>
      <c r="DB182" s="133"/>
      <c r="DC182" s="133"/>
      <c r="DD182" s="133"/>
      <c r="DE182" s="292"/>
      <c r="DF182" s="153"/>
      <c r="DG182" s="133"/>
      <c r="DH182" s="133"/>
      <c r="DI182" s="133"/>
      <c r="DJ182" s="292"/>
      <c r="DK182" s="153"/>
      <c r="DL182" s="133"/>
      <c r="DM182" s="133"/>
      <c r="DN182" s="133"/>
      <c r="DO182" s="292"/>
      <c r="DP182" s="153"/>
      <c r="DQ182" s="133"/>
      <c r="DR182" s="133"/>
      <c r="DS182" s="133"/>
      <c r="DT182" s="292"/>
      <c r="DU182" s="307"/>
      <c r="DV182" s="307"/>
      <c r="DW182" s="307"/>
      <c r="DX182" s="307"/>
      <c r="DY182" s="292"/>
      <c r="DZ182" s="307"/>
      <c r="EA182" s="307"/>
      <c r="EB182" s="307"/>
      <c r="EC182" s="307"/>
      <c r="ED182" s="313"/>
      <c r="EE182" s="307"/>
      <c r="EF182" s="307"/>
      <c r="EG182" s="307"/>
      <c r="EH182" s="307"/>
      <c r="EI182" s="313"/>
      <c r="EJ182" s="307"/>
      <c r="EK182" s="307"/>
      <c r="EL182" s="307"/>
      <c r="EM182" s="307"/>
      <c r="EN182" s="313"/>
      <c r="EO182" s="307"/>
      <c r="EP182" s="307"/>
      <c r="EQ182" s="307"/>
      <c r="ER182" s="307"/>
      <c r="ES182" s="313"/>
      <c r="ET182" s="307"/>
      <c r="EU182" s="307"/>
      <c r="EV182" s="307"/>
      <c r="EW182" s="307"/>
      <c r="FB182" s="261"/>
      <c r="FC182" s="261"/>
      <c r="FD182" s="153"/>
      <c r="FE182" s="153"/>
      <c r="FF182" s="153"/>
      <c r="FG182" s="315"/>
      <c r="FH182" s="315"/>
      <c r="FI182" s="317"/>
      <c r="FK182" s="135"/>
      <c r="FM182" s="126"/>
      <c r="FN182" s="126"/>
      <c r="FO182" s="126"/>
      <c r="FP182" s="126"/>
      <c r="FQ182" s="126"/>
      <c r="FR182" s="126"/>
      <c r="FS182" s="126"/>
      <c r="FT182" s="126"/>
      <c r="FU182" s="126"/>
      <c r="FV182" s="126"/>
      <c r="FW182" s="126"/>
      <c r="FX182" s="126"/>
      <c r="FY182" s="126"/>
      <c r="FZ182" s="126"/>
      <c r="GA182" s="126"/>
      <c r="GB182" s="126"/>
      <c r="GC182" s="126"/>
      <c r="GD182" s="126"/>
    </row>
    <row r="183" spans="1:187" s="118" customFormat="1" ht="13.5" customHeight="1" x14ac:dyDescent="0.2">
      <c r="B183" s="131" t="s">
        <v>148</v>
      </c>
      <c r="C183" s="257" t="s">
        <v>32</v>
      </c>
      <c r="D183" s="132">
        <v>1</v>
      </c>
      <c r="E183" s="133"/>
      <c r="F183" s="315">
        <f t="shared" si="146"/>
        <v>0</v>
      </c>
      <c r="G183" s="316">
        <f t="shared" si="147"/>
        <v>0</v>
      </c>
      <c r="H183" s="316">
        <f t="shared" si="148"/>
        <v>0</v>
      </c>
      <c r="I183" s="316">
        <f t="shared" si="149"/>
        <v>0</v>
      </c>
      <c r="J183" s="315" t="str">
        <f t="shared" si="150"/>
        <v>-</v>
      </c>
      <c r="K183" s="315" t="str">
        <f t="shared" si="151"/>
        <v>-</v>
      </c>
      <c r="L183" s="317" t="str">
        <f t="shared" si="152"/>
        <v>-</v>
      </c>
      <c r="M183" s="134"/>
      <c r="N183" s="153"/>
      <c r="O183" s="133"/>
      <c r="P183" s="133"/>
      <c r="Q183" s="133"/>
      <c r="R183" s="124"/>
      <c r="S183" s="318">
        <f t="shared" si="154"/>
        <v>0</v>
      </c>
      <c r="T183" s="134"/>
      <c r="U183" s="261">
        <f>IF(FC183="-",H183/F183,(FE183+H183)/(FC183+F183))</f>
        <v>2.25</v>
      </c>
      <c r="V183" s="261">
        <f>IF(FC183="-",IF(I183=0,H183,H183/I183),IF(FF183+I183=0,FE183+H183,(FE183+H183)/(FF183+I183)))</f>
        <v>9</v>
      </c>
      <c r="W183" s="135">
        <f t="shared" si="153"/>
        <v>4</v>
      </c>
      <c r="X183" s="122"/>
      <c r="Y183" s="153"/>
      <c r="Z183" s="133"/>
      <c r="AA183" s="133"/>
      <c r="AB183" s="133"/>
      <c r="AC183" s="319"/>
      <c r="AD183" s="153"/>
      <c r="AE183" s="133"/>
      <c r="AF183" s="133"/>
      <c r="AG183" s="133"/>
      <c r="AH183" s="319"/>
      <c r="AI183" s="153"/>
      <c r="AJ183" s="133"/>
      <c r="AK183" s="133"/>
      <c r="AL183" s="133"/>
      <c r="AM183" s="319"/>
      <c r="AN183" s="153"/>
      <c r="AO183" s="133"/>
      <c r="AP183" s="133"/>
      <c r="AQ183" s="133"/>
      <c r="AR183" s="319"/>
      <c r="AS183" s="153"/>
      <c r="AT183" s="133"/>
      <c r="AU183" s="133"/>
      <c r="AV183" s="133"/>
      <c r="AW183" s="319"/>
      <c r="AX183" s="153"/>
      <c r="AY183" s="133"/>
      <c r="AZ183" s="133"/>
      <c r="BA183" s="133"/>
      <c r="BB183" s="319"/>
      <c r="BC183" s="153"/>
      <c r="BD183" s="133"/>
      <c r="BE183" s="133"/>
      <c r="BF183" s="133"/>
      <c r="BG183" s="319"/>
      <c r="BH183" s="153"/>
      <c r="BI183" s="133"/>
      <c r="BJ183" s="133"/>
      <c r="BK183" s="133"/>
      <c r="BL183" s="319"/>
      <c r="BM183" s="153"/>
      <c r="BN183" s="133"/>
      <c r="BO183" s="133"/>
      <c r="BP183" s="133"/>
      <c r="BQ183" s="319"/>
      <c r="BR183" s="153"/>
      <c r="BS183" s="133"/>
      <c r="BT183" s="133"/>
      <c r="BU183" s="133"/>
      <c r="BV183" s="319"/>
      <c r="BW183" s="153"/>
      <c r="BX183" s="133"/>
      <c r="BY183" s="133"/>
      <c r="BZ183" s="133"/>
      <c r="CA183" s="319"/>
      <c r="CB183" s="153"/>
      <c r="CC183" s="133"/>
      <c r="CD183" s="133"/>
      <c r="CE183" s="133"/>
      <c r="CF183" s="319"/>
      <c r="CG183" s="153"/>
      <c r="CH183" s="133"/>
      <c r="CI183" s="133"/>
      <c r="CJ183" s="133"/>
      <c r="CK183" s="319"/>
      <c r="CL183" s="153"/>
      <c r="CM183" s="133"/>
      <c r="CN183" s="133"/>
      <c r="CO183" s="133"/>
      <c r="CP183" s="319"/>
      <c r="CQ183" s="153"/>
      <c r="CR183" s="133"/>
      <c r="CS183" s="133"/>
      <c r="CT183" s="133"/>
      <c r="CU183" s="319"/>
      <c r="CV183" s="153"/>
      <c r="CW183" s="133"/>
      <c r="CX183" s="133"/>
      <c r="CY183" s="133"/>
      <c r="CZ183" s="319"/>
      <c r="DA183" s="153"/>
      <c r="DB183" s="133"/>
      <c r="DC183" s="133"/>
      <c r="DD183" s="133"/>
      <c r="DE183" s="319"/>
      <c r="DF183" s="153"/>
      <c r="DG183" s="133"/>
      <c r="DH183" s="133"/>
      <c r="DI183" s="133"/>
      <c r="DJ183" s="319"/>
      <c r="DK183" s="153"/>
      <c r="DL183" s="133"/>
      <c r="DM183" s="133"/>
      <c r="DN183" s="133"/>
      <c r="DO183" s="319"/>
      <c r="DP183" s="153"/>
      <c r="DQ183" s="133"/>
      <c r="DR183" s="133"/>
      <c r="DS183" s="133"/>
      <c r="DT183" s="319"/>
      <c r="DU183" s="320"/>
      <c r="DV183" s="154"/>
      <c r="DW183" s="154"/>
      <c r="DX183" s="154"/>
      <c r="DY183" s="319"/>
      <c r="DZ183" s="320"/>
      <c r="EA183" s="154"/>
      <c r="EB183" s="154"/>
      <c r="EC183" s="154"/>
      <c r="ED183" s="313"/>
      <c r="EE183" s="307"/>
      <c r="EF183" s="307"/>
      <c r="EG183" s="307"/>
      <c r="EH183" s="307"/>
      <c r="EI183" s="313"/>
      <c r="EJ183" s="307"/>
      <c r="EK183" s="307"/>
      <c r="EL183" s="307"/>
      <c r="EM183" s="307"/>
      <c r="EN183" s="313"/>
      <c r="EO183" s="307"/>
      <c r="EP183" s="307"/>
      <c r="EQ183" s="307"/>
      <c r="ER183" s="307"/>
      <c r="ES183" s="313"/>
      <c r="ET183" s="307"/>
      <c r="EU183" s="307"/>
      <c r="EV183" s="307"/>
      <c r="EW183" s="307"/>
      <c r="FB183" s="132">
        <v>1</v>
      </c>
      <c r="FC183" s="261">
        <v>8</v>
      </c>
      <c r="FD183" s="132">
        <v>0</v>
      </c>
      <c r="FE183" s="132">
        <v>18</v>
      </c>
      <c r="FF183" s="132">
        <v>2</v>
      </c>
      <c r="FG183" s="315">
        <f>IF(FF183=0,"-",FC183/FF183)</f>
        <v>4</v>
      </c>
      <c r="FH183" s="315">
        <f>IF(FC183=0,"-",FE183/FC183)</f>
        <v>2.25</v>
      </c>
      <c r="FI183" s="317">
        <f>IF(FF183=0,"-",FE183/FF183)</f>
        <v>9</v>
      </c>
      <c r="FJ183" s="119"/>
      <c r="FK183" s="271">
        <v>4</v>
      </c>
      <c r="FL183" s="310"/>
      <c r="FM183" s="310"/>
      <c r="FN183" s="310"/>
      <c r="FO183" s="310"/>
      <c r="FP183" s="310"/>
      <c r="FQ183" s="310"/>
      <c r="FR183" s="310"/>
      <c r="FS183" s="310"/>
      <c r="FT183" s="310"/>
      <c r="FU183" s="126"/>
      <c r="FV183" s="126"/>
      <c r="FW183" s="126"/>
      <c r="FX183" s="126"/>
      <c r="FY183" s="126"/>
      <c r="FZ183" s="126"/>
      <c r="GA183" s="126"/>
      <c r="GB183" s="126"/>
      <c r="GC183" s="126"/>
      <c r="GD183" s="126"/>
    </row>
    <row r="184" spans="1:187" s="118" customFormat="1" ht="13.5" customHeight="1" x14ac:dyDescent="0.2">
      <c r="B184" s="131" t="s">
        <v>122</v>
      </c>
      <c r="C184" s="257" t="s">
        <v>43</v>
      </c>
      <c r="D184" s="132">
        <v>1</v>
      </c>
      <c r="E184" s="133"/>
      <c r="F184" s="316">
        <f t="shared" si="146"/>
        <v>0</v>
      </c>
      <c r="G184" s="316">
        <f t="shared" si="147"/>
        <v>0</v>
      </c>
      <c r="H184" s="316">
        <f t="shared" si="148"/>
        <v>0</v>
      </c>
      <c r="I184" s="316">
        <f t="shared" si="149"/>
        <v>0</v>
      </c>
      <c r="J184" s="315" t="str">
        <f t="shared" si="150"/>
        <v>-</v>
      </c>
      <c r="K184" s="315" t="str">
        <f t="shared" si="151"/>
        <v>-</v>
      </c>
      <c r="L184" s="317" t="str">
        <f t="shared" si="152"/>
        <v>-</v>
      </c>
      <c r="M184" s="134"/>
      <c r="N184" s="153"/>
      <c r="O184" s="133"/>
      <c r="P184" s="133"/>
      <c r="Q184" s="133"/>
      <c r="R184" s="124"/>
      <c r="S184" s="318">
        <f t="shared" si="154"/>
        <v>0</v>
      </c>
      <c r="T184" s="134"/>
      <c r="U184" s="261" t="s">
        <v>41</v>
      </c>
      <c r="V184" s="261" t="s">
        <v>41</v>
      </c>
      <c r="W184" s="135">
        <f t="shared" si="153"/>
        <v>1</v>
      </c>
      <c r="X184" s="122"/>
      <c r="Y184" s="153"/>
      <c r="Z184" s="133"/>
      <c r="AA184" s="133"/>
      <c r="AB184" s="133"/>
      <c r="AC184" s="319"/>
      <c r="AD184" s="153"/>
      <c r="AE184" s="133"/>
      <c r="AF184" s="133"/>
      <c r="AG184" s="133"/>
      <c r="AH184" s="319"/>
      <c r="AI184" s="153"/>
      <c r="AJ184" s="133"/>
      <c r="AK184" s="133"/>
      <c r="AL184" s="133"/>
      <c r="AM184" s="319"/>
      <c r="AN184" s="153"/>
      <c r="AO184" s="133"/>
      <c r="AP184" s="133"/>
      <c r="AQ184" s="133"/>
      <c r="AR184" s="319"/>
      <c r="AS184" s="153"/>
      <c r="AT184" s="133"/>
      <c r="AU184" s="133"/>
      <c r="AV184" s="133"/>
      <c r="AW184" s="319"/>
      <c r="AX184" s="153"/>
      <c r="AY184" s="133"/>
      <c r="AZ184" s="133"/>
      <c r="BA184" s="133"/>
      <c r="BB184" s="319"/>
      <c r="BC184" s="153"/>
      <c r="BD184" s="133"/>
      <c r="BE184" s="133"/>
      <c r="BF184" s="133"/>
      <c r="BG184" s="319"/>
      <c r="BH184" s="153"/>
      <c r="BI184" s="133"/>
      <c r="BJ184" s="133"/>
      <c r="BK184" s="133"/>
      <c r="BL184" s="319"/>
      <c r="BM184" s="153"/>
      <c r="BN184" s="133"/>
      <c r="BO184" s="133"/>
      <c r="BP184" s="133"/>
      <c r="BQ184" s="319"/>
      <c r="BR184" s="153"/>
      <c r="BS184" s="133"/>
      <c r="BT184" s="133"/>
      <c r="BU184" s="133"/>
      <c r="BV184" s="319"/>
      <c r="BW184" s="153"/>
      <c r="BX184" s="133"/>
      <c r="BY184" s="133"/>
      <c r="BZ184" s="133"/>
      <c r="CA184" s="319"/>
      <c r="CB184" s="153"/>
      <c r="CC184" s="133"/>
      <c r="CD184" s="133"/>
      <c r="CE184" s="133"/>
      <c r="CF184" s="319"/>
      <c r="CG184" s="153"/>
      <c r="CH184" s="133"/>
      <c r="CI184" s="133"/>
      <c r="CJ184" s="133"/>
      <c r="CK184" s="319"/>
      <c r="CL184" s="153"/>
      <c r="CM184" s="133"/>
      <c r="CN184" s="133"/>
      <c r="CO184" s="133"/>
      <c r="CP184" s="319"/>
      <c r="CQ184" s="153"/>
      <c r="CR184" s="133"/>
      <c r="CS184" s="133"/>
      <c r="CT184" s="133"/>
      <c r="CU184" s="319"/>
      <c r="CV184" s="153"/>
      <c r="CW184" s="133"/>
      <c r="CX184" s="133"/>
      <c r="CY184" s="133"/>
      <c r="CZ184" s="319"/>
      <c r="DA184" s="153"/>
      <c r="DB184" s="133"/>
      <c r="DC184" s="133"/>
      <c r="DD184" s="133"/>
      <c r="DE184" s="319"/>
      <c r="DF184" s="153"/>
      <c r="DG184" s="133"/>
      <c r="DH184" s="133"/>
      <c r="DI184" s="133"/>
      <c r="DJ184" s="319"/>
      <c r="DK184" s="153"/>
      <c r="DL184" s="133"/>
      <c r="DM184" s="133"/>
      <c r="DN184" s="133"/>
      <c r="DO184" s="319"/>
      <c r="DP184" s="153"/>
      <c r="DQ184" s="133"/>
      <c r="DR184" s="133"/>
      <c r="DS184" s="133"/>
      <c r="DT184" s="319"/>
      <c r="DU184" s="307"/>
      <c r="DV184" s="307"/>
      <c r="DW184" s="307"/>
      <c r="DX184" s="307"/>
      <c r="DY184" s="319"/>
      <c r="DZ184" s="307"/>
      <c r="EA184" s="307"/>
      <c r="EB184" s="307"/>
      <c r="EC184" s="307"/>
      <c r="ED184" s="307"/>
      <c r="EE184" s="307"/>
      <c r="EF184" s="307"/>
      <c r="EG184" s="307"/>
      <c r="EH184" s="307"/>
      <c r="EI184" s="313"/>
      <c r="EJ184" s="307"/>
      <c r="EK184" s="307"/>
      <c r="EL184" s="307"/>
      <c r="EM184" s="307"/>
      <c r="EN184" s="313"/>
      <c r="EO184" s="307"/>
      <c r="EP184" s="307"/>
      <c r="EQ184" s="307"/>
      <c r="ER184" s="307"/>
      <c r="ES184" s="313"/>
      <c r="ET184" s="307"/>
      <c r="EU184" s="307"/>
      <c r="EV184" s="307"/>
      <c r="EW184" s="307"/>
      <c r="FB184" s="153">
        <v>8</v>
      </c>
      <c r="FC184" s="261">
        <v>51</v>
      </c>
      <c r="FD184" s="153">
        <v>4</v>
      </c>
      <c r="FE184" s="153">
        <v>270</v>
      </c>
      <c r="FF184" s="153">
        <v>8</v>
      </c>
      <c r="FG184" s="315">
        <v>6.375</v>
      </c>
      <c r="FH184" s="315">
        <v>5.2941176470588234</v>
      </c>
      <c r="FI184" s="317">
        <v>33.75</v>
      </c>
      <c r="FJ184" s="119"/>
      <c r="FK184" s="135"/>
      <c r="FM184" s="126"/>
      <c r="FN184" s="126"/>
      <c r="FO184" s="126"/>
      <c r="FP184" s="126"/>
      <c r="FQ184" s="126"/>
      <c r="FR184" s="126"/>
      <c r="FS184" s="126"/>
      <c r="FT184" s="126"/>
      <c r="FU184" s="126"/>
      <c r="FV184" s="126"/>
      <c r="FW184" s="126"/>
      <c r="FX184" s="126"/>
      <c r="FY184" s="126"/>
      <c r="FZ184" s="126"/>
      <c r="GA184" s="126"/>
      <c r="GB184" s="126"/>
      <c r="GC184" s="126"/>
      <c r="GD184" s="126"/>
    </row>
    <row r="185" spans="1:187" s="118" customFormat="1" ht="13.5" customHeight="1" x14ac:dyDescent="0.2">
      <c r="B185" s="131" t="s">
        <v>130</v>
      </c>
      <c r="C185" s="257" t="s">
        <v>131</v>
      </c>
      <c r="D185" s="132">
        <v>1</v>
      </c>
      <c r="E185" s="133"/>
      <c r="F185" s="316">
        <f t="shared" si="146"/>
        <v>0</v>
      </c>
      <c r="G185" s="316">
        <f t="shared" si="147"/>
        <v>0</v>
      </c>
      <c r="H185" s="316">
        <f t="shared" si="148"/>
        <v>0</v>
      </c>
      <c r="I185" s="316">
        <f t="shared" si="149"/>
        <v>0</v>
      </c>
      <c r="J185" s="315" t="str">
        <f t="shared" si="150"/>
        <v>-</v>
      </c>
      <c r="K185" s="315" t="str">
        <f t="shared" si="151"/>
        <v>-</v>
      </c>
      <c r="L185" s="317" t="str">
        <f t="shared" si="152"/>
        <v>-</v>
      </c>
      <c r="M185" s="134"/>
      <c r="N185" s="153"/>
      <c r="O185" s="133"/>
      <c r="P185" s="133"/>
      <c r="Q185" s="133"/>
      <c r="R185" s="124"/>
      <c r="S185" s="318">
        <f t="shared" si="154"/>
        <v>0</v>
      </c>
      <c r="T185" s="134"/>
      <c r="U185" s="261" t="s">
        <v>41</v>
      </c>
      <c r="V185" s="261" t="s">
        <v>41</v>
      </c>
      <c r="W185" s="135">
        <f t="shared" si="153"/>
        <v>0</v>
      </c>
      <c r="X185" s="122"/>
      <c r="Y185" s="153"/>
      <c r="Z185" s="133"/>
      <c r="AA185" s="133"/>
      <c r="AB185" s="133"/>
      <c r="AC185" s="319"/>
      <c r="AD185" s="153"/>
      <c r="AE185" s="133"/>
      <c r="AF185" s="133"/>
      <c r="AG185" s="133"/>
      <c r="AH185" s="319"/>
      <c r="AI185" s="153"/>
      <c r="AJ185" s="133"/>
      <c r="AK185" s="133"/>
      <c r="AL185" s="133"/>
      <c r="AM185" s="319"/>
      <c r="AN185" s="153"/>
      <c r="AO185" s="133"/>
      <c r="AP185" s="133"/>
      <c r="AQ185" s="133"/>
      <c r="AR185" s="319"/>
      <c r="AS185" s="153"/>
      <c r="AT185" s="133"/>
      <c r="AU185" s="133"/>
      <c r="AV185" s="133"/>
      <c r="AW185" s="319"/>
      <c r="AX185" s="153"/>
      <c r="AY185" s="133"/>
      <c r="AZ185" s="133"/>
      <c r="BA185" s="133"/>
      <c r="BB185" s="319"/>
      <c r="BC185" s="153"/>
      <c r="BD185" s="133"/>
      <c r="BE185" s="133"/>
      <c r="BF185" s="133"/>
      <c r="BG185" s="319"/>
      <c r="BH185" s="153"/>
      <c r="BI185" s="133"/>
      <c r="BJ185" s="133"/>
      <c r="BK185" s="133"/>
      <c r="BL185" s="319"/>
      <c r="BM185" s="153"/>
      <c r="BN185" s="133"/>
      <c r="BO185" s="133"/>
      <c r="BP185" s="133"/>
      <c r="BQ185" s="319"/>
      <c r="BR185" s="153"/>
      <c r="BS185" s="133"/>
      <c r="BT185" s="133"/>
      <c r="BU185" s="133"/>
      <c r="BV185" s="319"/>
      <c r="BW185" s="153"/>
      <c r="BX185" s="133"/>
      <c r="BY185" s="133"/>
      <c r="BZ185" s="133"/>
      <c r="CA185" s="319"/>
      <c r="CB185" s="153"/>
      <c r="CC185" s="133"/>
      <c r="CD185" s="133"/>
      <c r="CE185" s="133"/>
      <c r="CF185" s="319"/>
      <c r="CG185" s="153"/>
      <c r="CH185" s="133"/>
      <c r="CI185" s="133"/>
      <c r="CJ185" s="133"/>
      <c r="CK185" s="319"/>
      <c r="CL185" s="153"/>
      <c r="CM185" s="133"/>
      <c r="CN185" s="133"/>
      <c r="CO185" s="133"/>
      <c r="CP185" s="319"/>
      <c r="CQ185" s="153"/>
      <c r="CR185" s="133"/>
      <c r="CS185" s="133"/>
      <c r="CT185" s="133"/>
      <c r="CU185" s="319"/>
      <c r="CV185" s="153"/>
      <c r="CW185" s="133"/>
      <c r="CX185" s="133"/>
      <c r="CY185" s="133"/>
      <c r="CZ185" s="319"/>
      <c r="DA185" s="153"/>
      <c r="DB185" s="133"/>
      <c r="DC185" s="133"/>
      <c r="DD185" s="133"/>
      <c r="DE185" s="319"/>
      <c r="DF185" s="153"/>
      <c r="DG185" s="133"/>
      <c r="DH185" s="133"/>
      <c r="DI185" s="133"/>
      <c r="DJ185" s="319"/>
      <c r="DK185" s="153"/>
      <c r="DL185" s="133"/>
      <c r="DM185" s="133"/>
      <c r="DN185" s="133"/>
      <c r="DO185" s="319"/>
      <c r="DP185" s="153"/>
      <c r="DQ185" s="133"/>
      <c r="DR185" s="133"/>
      <c r="DS185" s="133"/>
      <c r="DT185" s="319"/>
      <c r="DU185" s="307"/>
      <c r="DV185" s="307"/>
      <c r="DW185" s="307"/>
      <c r="DX185" s="307"/>
      <c r="DY185" s="319"/>
      <c r="DZ185" s="307"/>
      <c r="EA185" s="307"/>
      <c r="EB185" s="307"/>
      <c r="EC185" s="307"/>
      <c r="ED185" s="307"/>
      <c r="EE185" s="307"/>
      <c r="EF185" s="307"/>
      <c r="EG185" s="307"/>
      <c r="EH185" s="307"/>
      <c r="EI185" s="313"/>
      <c r="EJ185" s="307"/>
      <c r="EK185" s="307"/>
      <c r="EL185" s="307"/>
      <c r="EM185" s="307"/>
      <c r="EN185" s="313"/>
      <c r="EO185" s="307"/>
      <c r="EP185" s="307"/>
      <c r="EQ185" s="307"/>
      <c r="ER185" s="307"/>
      <c r="ES185" s="313"/>
      <c r="ET185" s="307"/>
      <c r="EU185" s="307"/>
      <c r="EV185" s="307"/>
      <c r="EW185" s="307"/>
      <c r="FB185" s="261"/>
      <c r="FC185" s="261"/>
      <c r="FD185" s="153"/>
      <c r="FE185" s="153"/>
      <c r="FF185" s="153"/>
      <c r="FG185" s="315"/>
      <c r="FH185" s="315"/>
      <c r="FI185" s="317"/>
      <c r="FJ185" s="119"/>
      <c r="FK185" s="135"/>
      <c r="FM185" s="126"/>
      <c r="FN185" s="126"/>
      <c r="FO185" s="126"/>
      <c r="FP185" s="126"/>
      <c r="FQ185" s="126"/>
      <c r="FR185" s="126"/>
      <c r="FS185" s="126"/>
      <c r="FT185" s="126"/>
      <c r="FU185" s="126"/>
      <c r="FV185" s="126"/>
      <c r="FW185" s="126"/>
      <c r="FX185" s="126"/>
      <c r="FY185" s="126"/>
      <c r="FZ185" s="126"/>
      <c r="GA185" s="126"/>
      <c r="GB185" s="126"/>
      <c r="GC185" s="126"/>
      <c r="GD185" s="126"/>
    </row>
    <row r="186" spans="1:187" s="118" customFormat="1" ht="13.5" customHeight="1" x14ac:dyDescent="0.2">
      <c r="A186" s="336"/>
      <c r="B186" s="131" t="s">
        <v>120</v>
      </c>
      <c r="C186" s="257" t="s">
        <v>43</v>
      </c>
      <c r="D186" s="132">
        <v>3</v>
      </c>
      <c r="E186" s="133"/>
      <c r="F186" s="316">
        <f t="shared" si="146"/>
        <v>0</v>
      </c>
      <c r="G186" s="316">
        <f t="shared" si="147"/>
        <v>0</v>
      </c>
      <c r="H186" s="316">
        <f t="shared" si="148"/>
        <v>0</v>
      </c>
      <c r="I186" s="316">
        <f t="shared" si="149"/>
        <v>0</v>
      </c>
      <c r="J186" s="315" t="str">
        <f t="shared" si="150"/>
        <v>-</v>
      </c>
      <c r="K186" s="315" t="str">
        <f t="shared" si="151"/>
        <v>-</v>
      </c>
      <c r="L186" s="317" t="str">
        <f t="shared" si="152"/>
        <v>-</v>
      </c>
      <c r="M186" s="134"/>
      <c r="N186" s="153"/>
      <c r="O186" s="133"/>
      <c r="P186" s="133"/>
      <c r="Q186" s="133"/>
      <c r="R186" s="124"/>
      <c r="S186" s="318">
        <f t="shared" si="154"/>
        <v>0</v>
      </c>
      <c r="T186" s="134"/>
      <c r="U186" s="261" t="e">
        <f>IF(FC186="-",H186/F186,(FE186+H186)/(FC186+F186))</f>
        <v>#DIV/0!</v>
      </c>
      <c r="V186" s="261">
        <f>IF(FC186="-",IF(I186=0,H186,H186/I186),IF(FF186+I186=0,FE186+H186,(FE186+H186)/(FF186+I186)))</f>
        <v>0</v>
      </c>
      <c r="W186" s="135">
        <f t="shared" si="153"/>
        <v>2</v>
      </c>
      <c r="X186" s="122"/>
      <c r="Y186" s="153"/>
      <c r="Z186" s="133"/>
      <c r="AA186" s="133"/>
      <c r="AB186" s="133"/>
      <c r="AC186" s="319"/>
      <c r="AD186" s="153"/>
      <c r="AE186" s="133"/>
      <c r="AF186" s="133"/>
      <c r="AG186" s="133"/>
      <c r="AH186" s="319"/>
      <c r="AI186" s="153"/>
      <c r="AJ186" s="133"/>
      <c r="AK186" s="133"/>
      <c r="AL186" s="133"/>
      <c r="AM186" s="319"/>
      <c r="AN186" s="153"/>
      <c r="AO186" s="133"/>
      <c r="AP186" s="133"/>
      <c r="AQ186" s="133"/>
      <c r="AR186" s="319"/>
      <c r="AS186" s="153"/>
      <c r="AT186" s="133"/>
      <c r="AU186" s="133"/>
      <c r="AV186" s="133"/>
      <c r="AW186" s="319"/>
      <c r="AX186" s="153"/>
      <c r="AY186" s="133"/>
      <c r="AZ186" s="133"/>
      <c r="BA186" s="133"/>
      <c r="BB186" s="319"/>
      <c r="BC186" s="153"/>
      <c r="BD186" s="133"/>
      <c r="BE186" s="133"/>
      <c r="BF186" s="133"/>
      <c r="BG186" s="319"/>
      <c r="BH186" s="153"/>
      <c r="BI186" s="133"/>
      <c r="BJ186" s="133"/>
      <c r="BK186" s="133"/>
      <c r="BL186" s="319"/>
      <c r="BM186" s="153"/>
      <c r="BN186" s="133"/>
      <c r="BO186" s="133"/>
      <c r="BP186" s="133"/>
      <c r="BQ186" s="319"/>
      <c r="BR186" s="153"/>
      <c r="BS186" s="133"/>
      <c r="BT186" s="133"/>
      <c r="BU186" s="133"/>
      <c r="BV186" s="319"/>
      <c r="BW186" s="153"/>
      <c r="BX186" s="133"/>
      <c r="BY186" s="133"/>
      <c r="BZ186" s="133"/>
      <c r="CA186" s="319"/>
      <c r="CB186" s="153"/>
      <c r="CC186" s="133"/>
      <c r="CD186" s="133"/>
      <c r="CE186" s="133"/>
      <c r="CF186" s="319"/>
      <c r="CG186" s="153"/>
      <c r="CH186" s="133"/>
      <c r="CI186" s="133"/>
      <c r="CJ186" s="133"/>
      <c r="CK186" s="319"/>
      <c r="CL186" s="153"/>
      <c r="CM186" s="133"/>
      <c r="CN186" s="133"/>
      <c r="CO186" s="133"/>
      <c r="CP186" s="319"/>
      <c r="CQ186" s="153"/>
      <c r="CR186" s="133"/>
      <c r="CS186" s="133"/>
      <c r="CT186" s="133"/>
      <c r="CU186" s="319"/>
      <c r="CV186" s="153"/>
      <c r="CW186" s="133"/>
      <c r="CX186" s="133"/>
      <c r="CY186" s="133"/>
      <c r="CZ186" s="319"/>
      <c r="DA186" s="153"/>
      <c r="DB186" s="133"/>
      <c r="DC186" s="133"/>
      <c r="DD186" s="133"/>
      <c r="DE186" s="319"/>
      <c r="DF186" s="153"/>
      <c r="DG186" s="133"/>
      <c r="DH186" s="133"/>
      <c r="DI186" s="133"/>
      <c r="DJ186" s="319"/>
      <c r="DK186" s="153"/>
      <c r="DL186" s="133"/>
      <c r="DM186" s="133"/>
      <c r="DN186" s="133"/>
      <c r="DO186" s="319"/>
      <c r="DP186" s="153"/>
      <c r="DQ186" s="133"/>
      <c r="DR186" s="133"/>
      <c r="DS186" s="133"/>
      <c r="DT186" s="319"/>
      <c r="DU186" s="307"/>
      <c r="DV186" s="307"/>
      <c r="DW186" s="307"/>
      <c r="DX186" s="307"/>
      <c r="DY186" s="319"/>
      <c r="DZ186" s="307"/>
      <c r="EA186" s="307"/>
      <c r="EB186" s="307"/>
      <c r="EC186" s="307"/>
      <c r="ED186" s="307"/>
      <c r="EE186" s="307"/>
      <c r="EF186" s="307"/>
      <c r="EG186" s="307"/>
      <c r="EH186" s="307"/>
      <c r="EI186" s="313"/>
      <c r="EJ186" s="307"/>
      <c r="EK186" s="307"/>
      <c r="EL186" s="307"/>
      <c r="EM186" s="307"/>
      <c r="EN186" s="313"/>
      <c r="EO186" s="307"/>
      <c r="EP186" s="307"/>
      <c r="EQ186" s="307"/>
      <c r="ER186" s="307"/>
      <c r="ES186" s="313"/>
      <c r="ET186" s="307"/>
      <c r="EU186" s="307"/>
      <c r="EV186" s="307"/>
      <c r="EW186" s="307"/>
      <c r="FB186" s="261"/>
      <c r="FC186" s="261" t="s">
        <v>41</v>
      </c>
      <c r="FD186" s="153" t="s">
        <v>41</v>
      </c>
      <c r="FE186" s="153" t="s">
        <v>41</v>
      </c>
      <c r="FF186" s="153" t="s">
        <v>41</v>
      </c>
      <c r="FG186" s="315" t="s">
        <v>41</v>
      </c>
      <c r="FH186" s="315" t="s">
        <v>41</v>
      </c>
      <c r="FI186" s="317" t="s">
        <v>41</v>
      </c>
      <c r="FK186" s="271">
        <v>2</v>
      </c>
      <c r="FM186" s="126"/>
      <c r="FN186" s="126"/>
      <c r="FO186" s="126"/>
      <c r="FP186" s="126"/>
      <c r="FQ186" s="126"/>
      <c r="FR186" s="126"/>
      <c r="FS186" s="126"/>
      <c r="FT186" s="126"/>
      <c r="FU186" s="126"/>
      <c r="FV186" s="126"/>
      <c r="FW186" s="126"/>
      <c r="FX186" s="126"/>
      <c r="FY186" s="126"/>
      <c r="FZ186" s="126"/>
      <c r="GA186" s="126"/>
      <c r="GB186" s="126"/>
      <c r="GC186" s="126"/>
      <c r="GD186" s="126"/>
    </row>
    <row r="187" spans="1:187" s="118" customFormat="1" ht="13.5" customHeight="1" x14ac:dyDescent="0.2">
      <c r="B187" s="131" t="s">
        <v>121</v>
      </c>
      <c r="C187" s="257" t="s">
        <v>32</v>
      </c>
      <c r="D187" s="132">
        <v>1</v>
      </c>
      <c r="E187" s="133"/>
      <c r="F187" s="316">
        <f t="shared" si="146"/>
        <v>0</v>
      </c>
      <c r="G187" s="316">
        <f t="shared" si="147"/>
        <v>0</v>
      </c>
      <c r="H187" s="316">
        <f t="shared" si="148"/>
        <v>0</v>
      </c>
      <c r="I187" s="316">
        <f t="shared" si="149"/>
        <v>0</v>
      </c>
      <c r="J187" s="315" t="str">
        <f t="shared" si="150"/>
        <v>-</v>
      </c>
      <c r="K187" s="315" t="str">
        <f t="shared" si="151"/>
        <v>-</v>
      </c>
      <c r="L187" s="317" t="str">
        <f t="shared" si="152"/>
        <v>-</v>
      </c>
      <c r="M187" s="134"/>
      <c r="N187" s="153"/>
      <c r="O187" s="133"/>
      <c r="P187" s="133"/>
      <c r="Q187" s="133"/>
      <c r="R187" s="124"/>
      <c r="S187" s="318">
        <f t="shared" si="154"/>
        <v>0</v>
      </c>
      <c r="T187" s="134"/>
      <c r="U187" s="261" t="e">
        <f>IF(FC187="-",H187/F187,(FE187+H187)/(FC187+F187))</f>
        <v>#DIV/0!</v>
      </c>
      <c r="V187" s="261">
        <f>IF(FC187="-",IF(I187=0,H187,H187/I187),IF(FF187+I187=0,FE187+H187,(FE187+H187)/(FF187+I187)))</f>
        <v>0</v>
      </c>
      <c r="W187" s="135" t="str">
        <f t="shared" si="153"/>
        <v>2</v>
      </c>
      <c r="X187" s="122"/>
      <c r="Y187" s="153"/>
      <c r="Z187" s="133"/>
      <c r="AA187" s="133"/>
      <c r="AB187" s="133"/>
      <c r="AC187" s="319"/>
      <c r="AD187" s="153"/>
      <c r="AE187" s="133"/>
      <c r="AF187" s="133"/>
      <c r="AG187" s="133"/>
      <c r="AH187" s="319"/>
      <c r="AI187" s="153"/>
      <c r="AJ187" s="133"/>
      <c r="AK187" s="133"/>
      <c r="AL187" s="133"/>
      <c r="AM187" s="319"/>
      <c r="AN187" s="153"/>
      <c r="AO187" s="133"/>
      <c r="AP187" s="133"/>
      <c r="AQ187" s="133"/>
      <c r="AR187" s="319"/>
      <c r="AS187" s="153"/>
      <c r="AT187" s="133"/>
      <c r="AU187" s="133"/>
      <c r="AV187" s="133"/>
      <c r="AW187" s="319"/>
      <c r="AX187" s="153"/>
      <c r="AY187" s="133"/>
      <c r="AZ187" s="133"/>
      <c r="BA187" s="133"/>
      <c r="BB187" s="319"/>
      <c r="BC187" s="153"/>
      <c r="BD187" s="133"/>
      <c r="BE187" s="133"/>
      <c r="BF187" s="133"/>
      <c r="BG187" s="319"/>
      <c r="BH187" s="153"/>
      <c r="BI187" s="133"/>
      <c r="BJ187" s="133"/>
      <c r="BK187" s="133"/>
      <c r="BL187" s="319"/>
      <c r="BM187" s="153"/>
      <c r="BN187" s="133"/>
      <c r="BO187" s="133"/>
      <c r="BP187" s="133"/>
      <c r="BQ187" s="319"/>
      <c r="BR187" s="153"/>
      <c r="BS187" s="133"/>
      <c r="BT187" s="133"/>
      <c r="BU187" s="133"/>
      <c r="BV187" s="319"/>
      <c r="BW187" s="153"/>
      <c r="BX187" s="133"/>
      <c r="BY187" s="133"/>
      <c r="BZ187" s="133"/>
      <c r="CA187" s="319"/>
      <c r="CB187" s="153"/>
      <c r="CC187" s="133"/>
      <c r="CD187" s="133"/>
      <c r="CE187" s="133"/>
      <c r="CF187" s="319"/>
      <c r="CG187" s="153"/>
      <c r="CH187" s="133"/>
      <c r="CI187" s="133"/>
      <c r="CJ187" s="133"/>
      <c r="CK187" s="319"/>
      <c r="CL187" s="153"/>
      <c r="CM187" s="133"/>
      <c r="CN187" s="133"/>
      <c r="CO187" s="133"/>
      <c r="CP187" s="319"/>
      <c r="CQ187" s="153"/>
      <c r="CR187" s="133"/>
      <c r="CS187" s="133"/>
      <c r="CT187" s="133"/>
      <c r="CU187" s="319"/>
      <c r="CV187" s="153"/>
      <c r="CW187" s="133"/>
      <c r="CX187" s="133"/>
      <c r="CY187" s="133"/>
      <c r="CZ187" s="319"/>
      <c r="DA187" s="153"/>
      <c r="DB187" s="133"/>
      <c r="DC187" s="133"/>
      <c r="DD187" s="133"/>
      <c r="DE187" s="319"/>
      <c r="DF187" s="153"/>
      <c r="DG187" s="133"/>
      <c r="DH187" s="133"/>
      <c r="DI187" s="133"/>
      <c r="DJ187" s="319"/>
      <c r="DK187" s="153"/>
      <c r="DL187" s="133"/>
      <c r="DM187" s="133"/>
      <c r="DN187" s="133"/>
      <c r="DO187" s="319"/>
      <c r="DP187" s="153"/>
      <c r="DQ187" s="133"/>
      <c r="DR187" s="133"/>
      <c r="DS187" s="133"/>
      <c r="DT187" s="319"/>
      <c r="DU187" s="307"/>
      <c r="DV187" s="307"/>
      <c r="DW187" s="307"/>
      <c r="DX187" s="307"/>
      <c r="DY187" s="319"/>
      <c r="DZ187" s="307"/>
      <c r="EA187" s="307"/>
      <c r="EB187" s="307"/>
      <c r="EC187" s="307"/>
      <c r="ED187" s="307"/>
      <c r="EE187" s="307"/>
      <c r="EF187" s="307"/>
      <c r="EG187" s="307"/>
      <c r="EH187" s="307"/>
      <c r="EI187" s="313"/>
      <c r="EJ187" s="307"/>
      <c r="EK187" s="307"/>
      <c r="EL187" s="307"/>
      <c r="EM187" s="307"/>
      <c r="EN187" s="313"/>
      <c r="EO187" s="307"/>
      <c r="EP187" s="307"/>
      <c r="EQ187" s="307"/>
      <c r="ER187" s="307"/>
      <c r="ES187" s="313"/>
      <c r="ET187" s="307"/>
      <c r="EU187" s="307"/>
      <c r="EV187" s="307"/>
      <c r="EW187" s="307"/>
      <c r="FB187" s="261"/>
      <c r="FC187" s="261"/>
      <c r="FD187" s="153"/>
      <c r="FE187" s="153"/>
      <c r="FF187" s="153"/>
      <c r="FG187" s="315"/>
      <c r="FH187" s="315"/>
      <c r="FI187" s="317"/>
      <c r="FK187" s="271" t="s">
        <v>70</v>
      </c>
      <c r="FM187" s="126"/>
      <c r="FN187" s="126"/>
      <c r="FO187" s="126"/>
      <c r="FP187" s="126"/>
      <c r="FQ187" s="126"/>
      <c r="FR187" s="126"/>
      <c r="FS187" s="126"/>
      <c r="FT187" s="126"/>
      <c r="FU187" s="126"/>
      <c r="FV187" s="126"/>
      <c r="FW187" s="126"/>
      <c r="FX187" s="126"/>
      <c r="FY187" s="126"/>
      <c r="FZ187" s="126"/>
      <c r="GA187" s="126"/>
      <c r="GB187" s="126"/>
      <c r="GC187" s="126"/>
      <c r="GD187" s="126"/>
    </row>
    <row r="188" spans="1:187" s="118" customFormat="1" ht="13.5" customHeight="1" x14ac:dyDescent="0.2">
      <c r="B188" s="131" t="s">
        <v>139</v>
      </c>
      <c r="C188" s="257" t="s">
        <v>131</v>
      </c>
      <c r="D188" s="132">
        <v>1</v>
      </c>
      <c r="E188" s="133"/>
      <c r="F188" s="316">
        <f t="shared" si="146"/>
        <v>0</v>
      </c>
      <c r="G188" s="316">
        <f t="shared" si="147"/>
        <v>0</v>
      </c>
      <c r="H188" s="316">
        <f t="shared" si="148"/>
        <v>0</v>
      </c>
      <c r="I188" s="316">
        <f t="shared" si="149"/>
        <v>0</v>
      </c>
      <c r="J188" s="315" t="str">
        <f t="shared" si="150"/>
        <v>-</v>
      </c>
      <c r="K188" s="315" t="str">
        <f t="shared" si="151"/>
        <v>-</v>
      </c>
      <c r="L188" s="317" t="str">
        <f t="shared" si="152"/>
        <v>-</v>
      </c>
      <c r="M188" s="134"/>
      <c r="N188" s="153"/>
      <c r="O188" s="133"/>
      <c r="P188" s="133"/>
      <c r="Q188" s="133"/>
      <c r="R188" s="124"/>
      <c r="S188" s="318">
        <f t="shared" si="154"/>
        <v>0</v>
      </c>
      <c r="T188" s="134"/>
      <c r="U188" s="261" t="s">
        <v>41</v>
      </c>
      <c r="V188" s="261" t="s">
        <v>41</v>
      </c>
      <c r="W188" s="135">
        <f t="shared" si="153"/>
        <v>0</v>
      </c>
      <c r="X188" s="122"/>
      <c r="Y188" s="153"/>
      <c r="Z188" s="133"/>
      <c r="AA188" s="133"/>
      <c r="AB188" s="133"/>
      <c r="AC188" s="319"/>
      <c r="AD188" s="153"/>
      <c r="AE188" s="133"/>
      <c r="AF188" s="133"/>
      <c r="AG188" s="133"/>
      <c r="AH188" s="319"/>
      <c r="AI188" s="153"/>
      <c r="AJ188" s="133"/>
      <c r="AK188" s="133"/>
      <c r="AL188" s="133"/>
      <c r="AM188" s="319"/>
      <c r="AN188" s="153"/>
      <c r="AO188" s="133"/>
      <c r="AP188" s="133"/>
      <c r="AQ188" s="133"/>
      <c r="AR188" s="319"/>
      <c r="AS188" s="153"/>
      <c r="AT188" s="133"/>
      <c r="AU188" s="133"/>
      <c r="AV188" s="133"/>
      <c r="AW188" s="319"/>
      <c r="AX188" s="153"/>
      <c r="AY188" s="133"/>
      <c r="AZ188" s="133"/>
      <c r="BA188" s="133"/>
      <c r="BB188" s="319"/>
      <c r="BC188" s="153"/>
      <c r="BD188" s="133"/>
      <c r="BE188" s="133"/>
      <c r="BF188" s="133"/>
      <c r="BG188" s="319"/>
      <c r="BH188" s="153"/>
      <c r="BI188" s="133"/>
      <c r="BJ188" s="133"/>
      <c r="BK188" s="133"/>
      <c r="BL188" s="319"/>
      <c r="BM188" s="153"/>
      <c r="BN188" s="133"/>
      <c r="BO188" s="133"/>
      <c r="BP188" s="133"/>
      <c r="BQ188" s="319"/>
      <c r="BR188" s="153"/>
      <c r="BS188" s="133"/>
      <c r="BT188" s="133"/>
      <c r="BU188" s="133"/>
      <c r="BV188" s="319"/>
      <c r="BW188" s="153"/>
      <c r="BX188" s="133"/>
      <c r="BY188" s="133"/>
      <c r="BZ188" s="133"/>
      <c r="CA188" s="319"/>
      <c r="CB188" s="153"/>
      <c r="CC188" s="133"/>
      <c r="CD188" s="133"/>
      <c r="CE188" s="133"/>
      <c r="CF188" s="319"/>
      <c r="CG188" s="153"/>
      <c r="CH188" s="133"/>
      <c r="CI188" s="133"/>
      <c r="CJ188" s="133"/>
      <c r="CK188" s="319"/>
      <c r="CL188" s="153"/>
      <c r="CM188" s="133"/>
      <c r="CN188" s="133"/>
      <c r="CO188" s="133"/>
      <c r="CP188" s="319"/>
      <c r="CQ188" s="153"/>
      <c r="CR188" s="133"/>
      <c r="CS188" s="133"/>
      <c r="CT188" s="133"/>
      <c r="CU188" s="319"/>
      <c r="CV188" s="153"/>
      <c r="CW188" s="133"/>
      <c r="CX188" s="133"/>
      <c r="CY188" s="133"/>
      <c r="CZ188" s="319"/>
      <c r="DA188" s="153"/>
      <c r="DB188" s="133"/>
      <c r="DC188" s="133"/>
      <c r="DD188" s="133"/>
      <c r="DE188" s="319"/>
      <c r="DF188" s="153"/>
      <c r="DG188" s="133"/>
      <c r="DH188" s="133"/>
      <c r="DI188" s="133"/>
      <c r="DJ188" s="319"/>
      <c r="DK188" s="153"/>
      <c r="DL188" s="133"/>
      <c r="DM188" s="133"/>
      <c r="DN188" s="133"/>
      <c r="DO188" s="319"/>
      <c r="DP188" s="153"/>
      <c r="DQ188" s="133"/>
      <c r="DR188" s="133"/>
      <c r="DS188" s="133"/>
      <c r="DT188" s="319"/>
      <c r="DU188" s="307"/>
      <c r="DV188" s="307"/>
      <c r="DW188" s="307"/>
      <c r="DX188" s="307"/>
      <c r="DY188" s="319"/>
      <c r="DZ188" s="307"/>
      <c r="EA188" s="307"/>
      <c r="EB188" s="307"/>
      <c r="EC188" s="307"/>
      <c r="ED188" s="307"/>
      <c r="EE188" s="307"/>
      <c r="EF188" s="307"/>
      <c r="EG188" s="307"/>
      <c r="EH188" s="307"/>
      <c r="EI188" s="313"/>
      <c r="EJ188" s="307"/>
      <c r="EK188" s="307"/>
      <c r="EL188" s="307"/>
      <c r="EM188" s="307"/>
      <c r="EN188" s="313"/>
      <c r="EO188" s="307"/>
      <c r="EP188" s="307"/>
      <c r="EQ188" s="307"/>
      <c r="ER188" s="307"/>
      <c r="ES188" s="313"/>
      <c r="ET188" s="307"/>
      <c r="EU188" s="307"/>
      <c r="EV188" s="307"/>
      <c r="EW188" s="307"/>
      <c r="FB188" s="261"/>
      <c r="FC188" s="261"/>
      <c r="FD188" s="153"/>
      <c r="FE188" s="153"/>
      <c r="FF188" s="153"/>
      <c r="FG188" s="315"/>
      <c r="FH188" s="315"/>
      <c r="FI188" s="317"/>
      <c r="FJ188" s="119"/>
      <c r="FK188" s="135"/>
      <c r="FM188" s="126"/>
      <c r="FN188" s="126"/>
      <c r="FO188" s="126"/>
      <c r="FP188" s="126"/>
      <c r="FQ188" s="126"/>
      <c r="FR188" s="126"/>
      <c r="FS188" s="126"/>
      <c r="FT188" s="126"/>
      <c r="FU188" s="126"/>
      <c r="FV188" s="126"/>
      <c r="FW188" s="126"/>
      <c r="FX188" s="126"/>
      <c r="FY188" s="126"/>
      <c r="FZ188" s="126"/>
      <c r="GA188" s="126"/>
      <c r="GB188" s="126"/>
      <c r="GC188" s="126"/>
      <c r="GD188" s="126"/>
    </row>
    <row r="189" spans="1:187" s="118" customFormat="1" ht="13.5" customHeight="1" x14ac:dyDescent="0.2">
      <c r="B189" s="131" t="s">
        <v>87</v>
      </c>
      <c r="C189" s="257" t="s">
        <v>43</v>
      </c>
      <c r="D189" s="132">
        <v>0</v>
      </c>
      <c r="E189" s="133"/>
      <c r="F189" s="316">
        <f t="shared" si="146"/>
        <v>0</v>
      </c>
      <c r="G189" s="316">
        <f t="shared" si="147"/>
        <v>0</v>
      </c>
      <c r="H189" s="316">
        <f t="shared" si="148"/>
        <v>0</v>
      </c>
      <c r="I189" s="316">
        <f t="shared" si="149"/>
        <v>0</v>
      </c>
      <c r="J189" s="315" t="str">
        <f t="shared" si="150"/>
        <v>-</v>
      </c>
      <c r="K189" s="315" t="str">
        <f t="shared" si="151"/>
        <v>-</v>
      </c>
      <c r="L189" s="317" t="str">
        <f t="shared" si="152"/>
        <v>-</v>
      </c>
      <c r="M189" s="134"/>
      <c r="N189" s="132"/>
      <c r="O189" s="133"/>
      <c r="P189" s="133"/>
      <c r="Q189" s="133"/>
      <c r="R189" s="124"/>
      <c r="S189" s="318">
        <f>I189*20-(H189/5)</f>
        <v>0</v>
      </c>
      <c r="T189" s="134"/>
      <c r="U189" s="261">
        <f>IF(FC189="-",H189/F189,(FE189+H189)/(FC189+F189))</f>
        <v>3.5</v>
      </c>
      <c r="V189" s="261">
        <f>IF(FC189="-",IF(I189=0,H189,H189/I189),IF(FF189+I189=0,FE189+H189,(FE189+H189)/(FF189+I189)))</f>
        <v>14</v>
      </c>
      <c r="W189" s="135" t="str">
        <f t="shared" si="153"/>
        <v>3</v>
      </c>
      <c r="X189" s="122"/>
      <c r="Y189" s="261"/>
      <c r="Z189" s="133"/>
      <c r="AA189" s="133"/>
      <c r="AB189" s="133"/>
      <c r="AC189" s="319"/>
      <c r="AD189" s="261"/>
      <c r="AE189" s="133"/>
      <c r="AF189" s="133"/>
      <c r="AG189" s="133"/>
      <c r="AH189" s="319"/>
      <c r="AI189" s="261"/>
      <c r="AJ189" s="133"/>
      <c r="AK189" s="133"/>
      <c r="AL189" s="133"/>
      <c r="AM189" s="319"/>
      <c r="AN189" s="261"/>
      <c r="AO189" s="133"/>
      <c r="AP189" s="133"/>
      <c r="AQ189" s="133"/>
      <c r="AR189" s="319"/>
      <c r="AS189" s="261"/>
      <c r="AT189" s="133"/>
      <c r="AU189" s="133"/>
      <c r="AV189" s="133"/>
      <c r="AW189" s="319"/>
      <c r="AX189" s="261"/>
      <c r="AY189" s="133"/>
      <c r="AZ189" s="133"/>
      <c r="BA189" s="133"/>
      <c r="BB189" s="319"/>
      <c r="BC189" s="261"/>
      <c r="BD189" s="133"/>
      <c r="BE189" s="133"/>
      <c r="BF189" s="133"/>
      <c r="BG189" s="319"/>
      <c r="BH189" s="261"/>
      <c r="BI189" s="133"/>
      <c r="BJ189" s="133"/>
      <c r="BK189" s="133"/>
      <c r="BL189" s="319"/>
      <c r="BM189" s="261"/>
      <c r="BN189" s="133"/>
      <c r="BO189" s="133"/>
      <c r="BP189" s="133"/>
      <c r="BQ189" s="319"/>
      <c r="BR189" s="261"/>
      <c r="BS189" s="133"/>
      <c r="BT189" s="133"/>
      <c r="BU189" s="133"/>
      <c r="BV189" s="319"/>
      <c r="BW189" s="261"/>
      <c r="BX189" s="133"/>
      <c r="BY189" s="133"/>
      <c r="BZ189" s="133"/>
      <c r="CA189" s="319"/>
      <c r="CB189" s="261"/>
      <c r="CC189" s="133"/>
      <c r="CD189" s="133"/>
      <c r="CE189" s="133"/>
      <c r="CF189" s="319"/>
      <c r="CG189" s="261"/>
      <c r="CH189" s="133"/>
      <c r="CI189" s="133"/>
      <c r="CJ189" s="133"/>
      <c r="CK189" s="319"/>
      <c r="CL189" s="261"/>
      <c r="CM189" s="133"/>
      <c r="CN189" s="133"/>
      <c r="CO189" s="133"/>
      <c r="CP189" s="319"/>
      <c r="CQ189" s="261"/>
      <c r="CR189" s="133"/>
      <c r="CS189" s="133"/>
      <c r="CT189" s="133"/>
      <c r="CU189" s="319"/>
      <c r="CV189" s="261"/>
      <c r="CW189" s="133"/>
      <c r="CX189" s="133"/>
      <c r="CY189" s="133"/>
      <c r="CZ189" s="319"/>
      <c r="DA189" s="261"/>
      <c r="DB189" s="133"/>
      <c r="DC189" s="133"/>
      <c r="DD189" s="133"/>
      <c r="DE189" s="319"/>
      <c r="DF189" s="261"/>
      <c r="DG189" s="133"/>
      <c r="DH189" s="133"/>
      <c r="DI189" s="133"/>
      <c r="DJ189" s="319"/>
      <c r="DK189" s="261"/>
      <c r="DL189" s="133"/>
      <c r="DM189" s="133"/>
      <c r="DN189" s="133"/>
      <c r="DO189" s="319"/>
      <c r="DP189" s="261"/>
      <c r="DQ189" s="133"/>
      <c r="DR189" s="133"/>
      <c r="DS189" s="133"/>
      <c r="DT189" s="319"/>
      <c r="DU189" s="307"/>
      <c r="DV189" s="307"/>
      <c r="DW189" s="307"/>
      <c r="DX189" s="307"/>
      <c r="DY189" s="319"/>
      <c r="DZ189" s="307"/>
      <c r="EA189" s="307"/>
      <c r="EB189" s="307"/>
      <c r="EC189" s="307"/>
      <c r="ED189" s="307"/>
      <c r="EE189" s="307"/>
      <c r="EF189" s="307"/>
      <c r="EG189" s="307"/>
      <c r="EH189" s="307"/>
      <c r="EI189" s="313"/>
      <c r="EJ189" s="307"/>
      <c r="EK189" s="307"/>
      <c r="EL189" s="307"/>
      <c r="EM189" s="307"/>
      <c r="EN189" s="313"/>
      <c r="EO189" s="307"/>
      <c r="EP189" s="307"/>
      <c r="EQ189" s="307"/>
      <c r="ER189" s="307"/>
      <c r="ES189" s="313"/>
      <c r="ET189" s="307"/>
      <c r="EU189" s="307"/>
      <c r="EV189" s="307"/>
      <c r="EW189" s="307"/>
      <c r="FB189" s="261"/>
      <c r="FC189" s="261">
        <v>4</v>
      </c>
      <c r="FD189" s="153">
        <v>0</v>
      </c>
      <c r="FE189" s="153">
        <v>14</v>
      </c>
      <c r="FF189" s="153">
        <v>1</v>
      </c>
      <c r="FG189" s="315">
        <f>IF(OR(FC189="-",FF189=0),"-",FC189/FF189)</f>
        <v>4</v>
      </c>
      <c r="FH189" s="315">
        <f>IF(FC189="-","-",FE189/FC189)</f>
        <v>3.5</v>
      </c>
      <c r="FI189" s="317">
        <f>IF(OR(FC189="-",FF189=0),FE189,FE189/FF189)</f>
        <v>14</v>
      </c>
      <c r="FK189" s="271" t="s">
        <v>88</v>
      </c>
      <c r="FM189" s="126"/>
      <c r="FN189" s="126"/>
      <c r="FO189" s="126"/>
      <c r="FP189" s="126"/>
      <c r="FQ189" s="126"/>
      <c r="FR189" s="126"/>
      <c r="FS189" s="126"/>
      <c r="FT189" s="126"/>
      <c r="FU189" s="126"/>
      <c r="FV189" s="126"/>
      <c r="FW189" s="126"/>
      <c r="FX189" s="126"/>
      <c r="FY189" s="126"/>
      <c r="FZ189" s="126"/>
      <c r="GA189" s="126"/>
      <c r="GB189" s="126"/>
      <c r="GC189" s="126"/>
      <c r="GD189" s="126"/>
      <c r="GE189" s="126"/>
    </row>
    <row r="190" spans="1:187" s="118" customFormat="1" ht="13.5" customHeight="1" x14ac:dyDescent="0.2">
      <c r="B190" s="131" t="s">
        <v>137</v>
      </c>
      <c r="C190" s="257" t="s">
        <v>32</v>
      </c>
      <c r="D190" s="132">
        <v>1</v>
      </c>
      <c r="E190" s="133"/>
      <c r="F190" s="316">
        <f t="shared" si="146"/>
        <v>0</v>
      </c>
      <c r="G190" s="316">
        <f t="shared" si="147"/>
        <v>0</v>
      </c>
      <c r="H190" s="316">
        <f t="shared" si="148"/>
        <v>0</v>
      </c>
      <c r="I190" s="316">
        <f t="shared" si="149"/>
        <v>0</v>
      </c>
      <c r="J190" s="315" t="str">
        <f t="shared" si="150"/>
        <v>-</v>
      </c>
      <c r="K190" s="315" t="str">
        <f t="shared" si="151"/>
        <v>-</v>
      </c>
      <c r="L190" s="317" t="str">
        <f t="shared" si="152"/>
        <v>-</v>
      </c>
      <c r="M190" s="134"/>
      <c r="N190" s="132"/>
      <c r="O190" s="133"/>
      <c r="P190" s="133"/>
      <c r="Q190" s="133"/>
      <c r="R190" s="124"/>
      <c r="S190" s="318">
        <f t="shared" ref="S190:S194" si="155">(I190*20)-(H190/5)</f>
        <v>0</v>
      </c>
      <c r="T190" s="134"/>
      <c r="U190" s="261" t="s">
        <v>41</v>
      </c>
      <c r="V190" s="261" t="s">
        <v>41</v>
      </c>
      <c r="W190" s="135">
        <f t="shared" si="153"/>
        <v>0</v>
      </c>
      <c r="X190" s="122"/>
      <c r="Y190" s="153"/>
      <c r="Z190" s="133"/>
      <c r="AA190" s="133"/>
      <c r="AB190" s="133"/>
      <c r="AC190" s="319"/>
      <c r="AD190" s="153"/>
      <c r="AE190" s="133"/>
      <c r="AF190" s="133"/>
      <c r="AG190" s="133"/>
      <c r="AH190" s="319"/>
      <c r="AI190" s="153"/>
      <c r="AJ190" s="133"/>
      <c r="AK190" s="133"/>
      <c r="AL190" s="133"/>
      <c r="AM190" s="319"/>
      <c r="AN190" s="153"/>
      <c r="AO190" s="133"/>
      <c r="AP190" s="133"/>
      <c r="AQ190" s="133"/>
      <c r="AR190" s="319"/>
      <c r="AS190" s="153"/>
      <c r="AT190" s="133"/>
      <c r="AU190" s="133"/>
      <c r="AV190" s="133"/>
      <c r="AW190" s="319"/>
      <c r="AX190" s="153"/>
      <c r="AY190" s="133"/>
      <c r="AZ190" s="133"/>
      <c r="BA190" s="133"/>
      <c r="BB190" s="319"/>
      <c r="BC190" s="153"/>
      <c r="BD190" s="133"/>
      <c r="BE190" s="133"/>
      <c r="BF190" s="133"/>
      <c r="BG190" s="319"/>
      <c r="BH190" s="153"/>
      <c r="BI190" s="133"/>
      <c r="BJ190" s="133"/>
      <c r="BK190" s="133"/>
      <c r="BL190" s="319"/>
      <c r="BM190" s="153"/>
      <c r="BN190" s="133"/>
      <c r="BO190" s="133"/>
      <c r="BP190" s="133"/>
      <c r="BQ190" s="319"/>
      <c r="BR190" s="153"/>
      <c r="BS190" s="133"/>
      <c r="BT190" s="133"/>
      <c r="BU190" s="133"/>
      <c r="BV190" s="319"/>
      <c r="BW190" s="153"/>
      <c r="BX190" s="133"/>
      <c r="BY190" s="133"/>
      <c r="BZ190" s="133"/>
      <c r="CA190" s="319"/>
      <c r="CB190" s="153"/>
      <c r="CC190" s="133"/>
      <c r="CD190" s="133"/>
      <c r="CE190" s="133"/>
      <c r="CF190" s="319"/>
      <c r="CG190" s="153"/>
      <c r="CH190" s="133"/>
      <c r="CI190" s="133"/>
      <c r="CJ190" s="133"/>
      <c r="CK190" s="319"/>
      <c r="CL190" s="153"/>
      <c r="CM190" s="133"/>
      <c r="CN190" s="133"/>
      <c r="CO190" s="133"/>
      <c r="CP190" s="319"/>
      <c r="CQ190" s="153"/>
      <c r="CR190" s="133"/>
      <c r="CS190" s="133"/>
      <c r="CT190" s="133"/>
      <c r="CU190" s="319"/>
      <c r="CV190" s="153"/>
      <c r="CW190" s="133"/>
      <c r="CX190" s="133"/>
      <c r="CY190" s="133"/>
      <c r="CZ190" s="319"/>
      <c r="DA190" s="153"/>
      <c r="DB190" s="133"/>
      <c r="DC190" s="133"/>
      <c r="DD190" s="133"/>
      <c r="DE190" s="319"/>
      <c r="DF190" s="153"/>
      <c r="DG190" s="133"/>
      <c r="DH190" s="133"/>
      <c r="DI190" s="133"/>
      <c r="DJ190" s="319"/>
      <c r="DK190" s="153"/>
      <c r="DL190" s="133"/>
      <c r="DM190" s="133"/>
      <c r="DN190" s="133"/>
      <c r="DO190" s="319"/>
      <c r="DP190" s="153"/>
      <c r="DQ190" s="133"/>
      <c r="DR190" s="133"/>
      <c r="DS190" s="133"/>
      <c r="DT190" s="319"/>
      <c r="DU190" s="307"/>
      <c r="DV190" s="307"/>
      <c r="DW190" s="307"/>
      <c r="DX190" s="307"/>
      <c r="DY190" s="319"/>
      <c r="DZ190" s="307"/>
      <c r="EA190" s="307"/>
      <c r="EB190" s="307"/>
      <c r="EC190" s="307"/>
      <c r="ED190" s="307"/>
      <c r="EE190" s="307"/>
      <c r="EF190" s="307"/>
      <c r="EG190" s="307"/>
      <c r="EH190" s="307"/>
      <c r="EI190" s="313"/>
      <c r="EJ190" s="307"/>
      <c r="EK190" s="307"/>
      <c r="EL190" s="307"/>
      <c r="EM190" s="307"/>
      <c r="EN190" s="313"/>
      <c r="EO190" s="307"/>
      <c r="EP190" s="307"/>
      <c r="EQ190" s="307"/>
      <c r="ER190" s="307"/>
      <c r="ES190" s="313"/>
      <c r="ET190" s="307"/>
      <c r="EU190" s="307"/>
      <c r="EV190" s="307"/>
      <c r="EW190" s="307"/>
      <c r="FB190" s="261"/>
      <c r="FC190" s="261"/>
      <c r="FD190" s="153"/>
      <c r="FE190" s="153"/>
      <c r="FF190" s="153"/>
      <c r="FG190" s="315"/>
      <c r="FH190" s="315"/>
      <c r="FI190" s="317"/>
      <c r="FK190" s="271"/>
      <c r="FM190" s="126"/>
      <c r="FN190" s="126"/>
      <c r="FO190" s="126"/>
      <c r="FP190" s="126"/>
      <c r="FQ190" s="126"/>
      <c r="FR190" s="126"/>
      <c r="FS190" s="126"/>
      <c r="FT190" s="126"/>
      <c r="FU190" s="126"/>
      <c r="FV190" s="126"/>
      <c r="FW190" s="126"/>
      <c r="FX190" s="126"/>
      <c r="FY190" s="126"/>
      <c r="FZ190" s="126"/>
      <c r="GA190" s="126"/>
      <c r="GB190" s="126"/>
      <c r="GC190" s="126"/>
      <c r="GD190" s="126"/>
    </row>
    <row r="191" spans="1:187" s="118" customFormat="1" ht="13.5" customHeight="1" x14ac:dyDescent="0.2">
      <c r="B191" s="131" t="s">
        <v>126</v>
      </c>
      <c r="C191" s="257" t="s">
        <v>38</v>
      </c>
      <c r="D191" s="132">
        <v>1</v>
      </c>
      <c r="E191" s="133"/>
      <c r="F191" s="316">
        <f t="shared" si="146"/>
        <v>0</v>
      </c>
      <c r="G191" s="316">
        <f t="shared" si="147"/>
        <v>0</v>
      </c>
      <c r="H191" s="316">
        <f t="shared" si="148"/>
        <v>0</v>
      </c>
      <c r="I191" s="316">
        <f t="shared" si="149"/>
        <v>0</v>
      </c>
      <c r="J191" s="315" t="str">
        <f t="shared" si="150"/>
        <v>-</v>
      </c>
      <c r="K191" s="315" t="str">
        <f t="shared" si="151"/>
        <v>-</v>
      </c>
      <c r="L191" s="317" t="str">
        <f t="shared" si="152"/>
        <v>-</v>
      </c>
      <c r="M191" s="134"/>
      <c r="N191" s="261"/>
      <c r="O191" s="133"/>
      <c r="P191" s="133"/>
      <c r="Q191" s="133"/>
      <c r="R191" s="124"/>
      <c r="S191" s="318">
        <f t="shared" si="155"/>
        <v>0</v>
      </c>
      <c r="T191" s="134"/>
      <c r="U191" s="261" t="s">
        <v>41</v>
      </c>
      <c r="V191" s="261" t="s">
        <v>41</v>
      </c>
      <c r="W191" s="135">
        <f t="shared" si="153"/>
        <v>0</v>
      </c>
      <c r="X191" s="122"/>
      <c r="Y191" s="153"/>
      <c r="Z191" s="133"/>
      <c r="AA191" s="133"/>
      <c r="AB191" s="133"/>
      <c r="AC191" s="319"/>
      <c r="AD191" s="153"/>
      <c r="AE191" s="133"/>
      <c r="AF191" s="133"/>
      <c r="AG191" s="133"/>
      <c r="AH191" s="319"/>
      <c r="AI191" s="153"/>
      <c r="AJ191" s="133"/>
      <c r="AK191" s="133"/>
      <c r="AL191" s="133"/>
      <c r="AM191" s="319"/>
      <c r="AN191" s="153"/>
      <c r="AO191" s="133"/>
      <c r="AP191" s="133"/>
      <c r="AQ191" s="133"/>
      <c r="AR191" s="319"/>
      <c r="AS191" s="153"/>
      <c r="AT191" s="133"/>
      <c r="AU191" s="133"/>
      <c r="AV191" s="133"/>
      <c r="AW191" s="319"/>
      <c r="AX191" s="153"/>
      <c r="AY191" s="133"/>
      <c r="AZ191" s="133"/>
      <c r="BA191" s="133"/>
      <c r="BB191" s="319"/>
      <c r="BC191" s="153"/>
      <c r="BD191" s="133"/>
      <c r="BE191" s="133"/>
      <c r="BF191" s="133"/>
      <c r="BG191" s="319"/>
      <c r="BH191" s="153"/>
      <c r="BI191" s="133"/>
      <c r="BJ191" s="133"/>
      <c r="BK191" s="133"/>
      <c r="BL191" s="319"/>
      <c r="BM191" s="153"/>
      <c r="BN191" s="133"/>
      <c r="BO191" s="133"/>
      <c r="BP191" s="133"/>
      <c r="BQ191" s="319"/>
      <c r="BR191" s="153"/>
      <c r="BS191" s="133"/>
      <c r="BT191" s="133"/>
      <c r="BU191" s="133"/>
      <c r="BV191" s="319"/>
      <c r="BW191" s="153"/>
      <c r="BX191" s="133"/>
      <c r="BY191" s="133"/>
      <c r="BZ191" s="133"/>
      <c r="CA191" s="319"/>
      <c r="CB191" s="153"/>
      <c r="CC191" s="133"/>
      <c r="CD191" s="133"/>
      <c r="CE191" s="133"/>
      <c r="CF191" s="319"/>
      <c r="CG191" s="153"/>
      <c r="CH191" s="133"/>
      <c r="CI191" s="133"/>
      <c r="CJ191" s="133"/>
      <c r="CK191" s="319"/>
      <c r="CL191" s="153"/>
      <c r="CM191" s="133"/>
      <c r="CN191" s="133"/>
      <c r="CO191" s="133"/>
      <c r="CP191" s="319"/>
      <c r="CQ191" s="153"/>
      <c r="CR191" s="133"/>
      <c r="CS191" s="133"/>
      <c r="CT191" s="133"/>
      <c r="CU191" s="319"/>
      <c r="CV191" s="153"/>
      <c r="CW191" s="133"/>
      <c r="CX191" s="133"/>
      <c r="CY191" s="133"/>
      <c r="CZ191" s="319"/>
      <c r="DA191" s="153"/>
      <c r="DB191" s="133"/>
      <c r="DC191" s="133"/>
      <c r="DD191" s="133"/>
      <c r="DE191" s="319"/>
      <c r="DF191" s="153"/>
      <c r="DG191" s="133"/>
      <c r="DH191" s="133"/>
      <c r="DI191" s="133"/>
      <c r="DJ191" s="319"/>
      <c r="DK191" s="153"/>
      <c r="DL191" s="133"/>
      <c r="DM191" s="133"/>
      <c r="DN191" s="133"/>
      <c r="DO191" s="319"/>
      <c r="DP191" s="153"/>
      <c r="DQ191" s="133"/>
      <c r="DR191" s="133"/>
      <c r="DS191" s="133"/>
      <c r="DT191" s="319"/>
      <c r="DU191" s="307"/>
      <c r="DV191" s="307"/>
      <c r="DW191" s="307"/>
      <c r="DX191" s="307"/>
      <c r="DY191" s="319"/>
      <c r="DZ191" s="307"/>
      <c r="EA191" s="307"/>
      <c r="EB191" s="307"/>
      <c r="EC191" s="307"/>
      <c r="ED191" s="307"/>
      <c r="EE191" s="307"/>
      <c r="EF191" s="307"/>
      <c r="EG191" s="307"/>
      <c r="EH191" s="307"/>
      <c r="EI191" s="313"/>
      <c r="EJ191" s="307"/>
      <c r="EK191" s="307"/>
      <c r="EL191" s="307"/>
      <c r="EM191" s="307"/>
      <c r="EN191" s="313"/>
      <c r="EO191" s="307"/>
      <c r="EP191" s="307"/>
      <c r="EQ191" s="307"/>
      <c r="ER191" s="307"/>
      <c r="ES191" s="313"/>
      <c r="ET191" s="307"/>
      <c r="EU191" s="307"/>
      <c r="EV191" s="307"/>
      <c r="EW191" s="307"/>
      <c r="FB191" s="261"/>
      <c r="FC191" s="261"/>
      <c r="FD191" s="153"/>
      <c r="FE191" s="153"/>
      <c r="FF191" s="153"/>
      <c r="FG191" s="315"/>
      <c r="FH191" s="315"/>
      <c r="FI191" s="317"/>
      <c r="FJ191" s="119"/>
      <c r="FK191" s="135"/>
      <c r="FM191" s="126"/>
      <c r="FN191" s="126"/>
      <c r="FO191" s="126"/>
      <c r="FP191" s="126"/>
      <c r="FQ191" s="126"/>
      <c r="FR191" s="126"/>
      <c r="FS191" s="126"/>
      <c r="FT191" s="126"/>
      <c r="FU191" s="126"/>
      <c r="FV191" s="126"/>
      <c r="FW191" s="126"/>
      <c r="FX191" s="126"/>
      <c r="FY191" s="126"/>
      <c r="FZ191" s="126"/>
      <c r="GA191" s="126"/>
      <c r="GB191" s="126"/>
      <c r="GC191" s="126"/>
      <c r="GD191" s="126"/>
    </row>
    <row r="192" spans="1:187" s="118" customFormat="1" ht="13.5" customHeight="1" x14ac:dyDescent="0.2">
      <c r="B192" s="131" t="s">
        <v>35</v>
      </c>
      <c r="C192" s="257" t="s">
        <v>34</v>
      </c>
      <c r="D192" s="132">
        <v>17</v>
      </c>
      <c r="E192" s="133"/>
      <c r="F192" s="315">
        <f t="shared" si="146"/>
        <v>0</v>
      </c>
      <c r="G192" s="316">
        <f t="shared" si="147"/>
        <v>0</v>
      </c>
      <c r="H192" s="316">
        <f t="shared" si="148"/>
        <v>0</v>
      </c>
      <c r="I192" s="316">
        <f t="shared" si="149"/>
        <v>0</v>
      </c>
      <c r="J192" s="315" t="str">
        <f t="shared" si="150"/>
        <v>-</v>
      </c>
      <c r="K192" s="315" t="str">
        <f t="shared" si="151"/>
        <v>-</v>
      </c>
      <c r="L192" s="317" t="str">
        <f t="shared" si="152"/>
        <v>-</v>
      </c>
      <c r="M192" s="134"/>
      <c r="N192" s="153"/>
      <c r="O192" s="133"/>
      <c r="P192" s="133"/>
      <c r="Q192" s="133"/>
      <c r="R192" s="124"/>
      <c r="S192" s="318">
        <f t="shared" si="155"/>
        <v>0</v>
      </c>
      <c r="T192" s="134"/>
      <c r="U192" s="261">
        <f t="shared" ref="U192:U205" si="156">IF(FC192="-",H192/F192,(FE192+H192)/(FC192+F192))</f>
        <v>5.1955307262569841</v>
      </c>
      <c r="V192" s="261">
        <f t="shared" ref="V192:V205" si="157">IF(FC192="-",IF(I192=0,H192,H192/I192),IF(FF192+I192=0,FE192+H192,(FE192+H192)/(FF192+I192)))</f>
        <v>28.898305084745761</v>
      </c>
      <c r="W192" s="135">
        <f t="shared" si="153"/>
        <v>2.5</v>
      </c>
      <c r="X192" s="122"/>
      <c r="Y192" s="153"/>
      <c r="Z192" s="133"/>
      <c r="AA192" s="133"/>
      <c r="AB192" s="133"/>
      <c r="AC192" s="292"/>
      <c r="AD192" s="153"/>
      <c r="AE192" s="133"/>
      <c r="AF192" s="133"/>
      <c r="AG192" s="133"/>
      <c r="AH192" s="292"/>
      <c r="AI192" s="153"/>
      <c r="AJ192" s="133"/>
      <c r="AK192" s="133"/>
      <c r="AL192" s="133"/>
      <c r="AM192" s="292"/>
      <c r="AN192" s="153"/>
      <c r="AO192" s="133"/>
      <c r="AP192" s="133"/>
      <c r="AQ192" s="133"/>
      <c r="AR192" s="292"/>
      <c r="AS192" s="153"/>
      <c r="AT192" s="133"/>
      <c r="AU192" s="133"/>
      <c r="AV192" s="133"/>
      <c r="AW192" s="292"/>
      <c r="AX192" s="153"/>
      <c r="AY192" s="133"/>
      <c r="AZ192" s="133"/>
      <c r="BA192" s="133"/>
      <c r="BB192" s="292"/>
      <c r="BC192" s="153"/>
      <c r="BD192" s="133"/>
      <c r="BE192" s="133"/>
      <c r="BF192" s="133"/>
      <c r="BG192" s="292"/>
      <c r="BH192" s="153"/>
      <c r="BI192" s="133"/>
      <c r="BJ192" s="133"/>
      <c r="BK192" s="133"/>
      <c r="BL192" s="292"/>
      <c r="BM192" s="153"/>
      <c r="BN192" s="133"/>
      <c r="BO192" s="133"/>
      <c r="BP192" s="133"/>
      <c r="BQ192" s="292"/>
      <c r="BR192" s="153"/>
      <c r="BS192" s="133"/>
      <c r="BT192" s="133"/>
      <c r="BU192" s="133"/>
      <c r="BV192" s="292"/>
      <c r="BW192" s="153"/>
      <c r="BX192" s="133"/>
      <c r="BY192" s="133"/>
      <c r="BZ192" s="133"/>
      <c r="CA192" s="292"/>
      <c r="CB192" s="153"/>
      <c r="CC192" s="133"/>
      <c r="CD192" s="133"/>
      <c r="CE192" s="133"/>
      <c r="CF192" s="292"/>
      <c r="CG192" s="153"/>
      <c r="CH192" s="133"/>
      <c r="CI192" s="133"/>
      <c r="CJ192" s="133"/>
      <c r="CK192" s="292"/>
      <c r="CL192" s="153"/>
      <c r="CM192" s="133"/>
      <c r="CN192" s="133"/>
      <c r="CO192" s="133"/>
      <c r="CP192" s="292"/>
      <c r="CQ192" s="153"/>
      <c r="CR192" s="133"/>
      <c r="CS192" s="133"/>
      <c r="CT192" s="133"/>
      <c r="CU192" s="292"/>
      <c r="CV192" s="153"/>
      <c r="CW192" s="133"/>
      <c r="CX192" s="133"/>
      <c r="CY192" s="133"/>
      <c r="CZ192" s="292"/>
      <c r="DA192" s="153"/>
      <c r="DB192" s="133"/>
      <c r="DC192" s="133"/>
      <c r="DD192" s="133"/>
      <c r="DE192" s="292"/>
      <c r="DF192" s="153"/>
      <c r="DG192" s="133"/>
      <c r="DH192" s="133"/>
      <c r="DI192" s="133"/>
      <c r="DJ192" s="292"/>
      <c r="DK192" s="153"/>
      <c r="DL192" s="133"/>
      <c r="DM192" s="133"/>
      <c r="DN192" s="133"/>
      <c r="DO192" s="292"/>
      <c r="DP192" s="153"/>
      <c r="DQ192" s="133"/>
      <c r="DR192" s="133"/>
      <c r="DS192" s="133"/>
      <c r="DT192" s="292"/>
      <c r="DU192" s="307"/>
      <c r="DV192" s="307"/>
      <c r="DW192" s="307"/>
      <c r="DX192" s="307"/>
      <c r="DY192" s="292"/>
      <c r="DZ192" s="307"/>
      <c r="EA192" s="307"/>
      <c r="EB192" s="307"/>
      <c r="EC192" s="307"/>
      <c r="ED192" s="307"/>
      <c r="EE192" s="307"/>
      <c r="EF192" s="307"/>
      <c r="EG192" s="307"/>
      <c r="EH192" s="307"/>
      <c r="EI192" s="313"/>
      <c r="EJ192" s="307"/>
      <c r="EK192" s="307"/>
      <c r="EL192" s="307"/>
      <c r="EM192" s="307"/>
      <c r="EN192" s="313"/>
      <c r="EO192" s="307"/>
      <c r="EP192" s="307"/>
      <c r="EQ192" s="307"/>
      <c r="ER192" s="307"/>
      <c r="ES192" s="313"/>
      <c r="ET192" s="307"/>
      <c r="EU192" s="307"/>
      <c r="EV192" s="307"/>
      <c r="EW192" s="307"/>
      <c r="FB192" s="132">
        <v>60</v>
      </c>
      <c r="FC192" s="261">
        <v>328.16666666666663</v>
      </c>
      <c r="FD192" s="132">
        <v>22</v>
      </c>
      <c r="FE192" s="132">
        <v>1705</v>
      </c>
      <c r="FF192" s="132">
        <v>59</v>
      </c>
      <c r="FG192" s="315">
        <f>IF(FF192=0,"-",FC192/FF192)</f>
        <v>5.5621468926553668</v>
      </c>
      <c r="FH192" s="315">
        <f>IF(FC192=0,"-",FE192/FC192)</f>
        <v>5.1955307262569841</v>
      </c>
      <c r="FI192" s="317">
        <f>IF(FF192=0,"-",FE192/FF192)</f>
        <v>28.898305084745761</v>
      </c>
      <c r="FK192" s="135"/>
      <c r="FL192" s="310"/>
      <c r="FM192" s="310"/>
      <c r="FN192" s="310"/>
      <c r="FO192" s="310"/>
      <c r="FP192" s="310"/>
      <c r="FQ192" s="310"/>
      <c r="FR192" s="310"/>
      <c r="FS192" s="310"/>
      <c r="FT192" s="310"/>
      <c r="FU192" s="126"/>
      <c r="FV192" s="126"/>
      <c r="FW192" s="126"/>
      <c r="FX192" s="126"/>
      <c r="FY192" s="126"/>
      <c r="FZ192" s="126"/>
      <c r="GA192" s="126"/>
      <c r="GB192" s="126"/>
      <c r="GC192" s="126"/>
      <c r="GD192" s="126"/>
    </row>
    <row r="193" spans="2:187" s="118" customFormat="1" ht="13.5" customHeight="1" x14ac:dyDescent="0.2">
      <c r="B193" s="131" t="s">
        <v>143</v>
      </c>
      <c r="C193" s="257" t="s">
        <v>34</v>
      </c>
      <c r="D193" s="132">
        <v>7</v>
      </c>
      <c r="E193" s="133"/>
      <c r="F193" s="315">
        <f t="shared" si="146"/>
        <v>0</v>
      </c>
      <c r="G193" s="316">
        <f t="shared" si="147"/>
        <v>0</v>
      </c>
      <c r="H193" s="316">
        <f t="shared" si="148"/>
        <v>0</v>
      </c>
      <c r="I193" s="316">
        <f t="shared" si="149"/>
        <v>0</v>
      </c>
      <c r="J193" s="315" t="str">
        <f t="shared" si="150"/>
        <v>-</v>
      </c>
      <c r="K193" s="315" t="str">
        <f t="shared" si="151"/>
        <v>-</v>
      </c>
      <c r="L193" s="317" t="str">
        <f t="shared" si="152"/>
        <v>-</v>
      </c>
      <c r="M193" s="134"/>
      <c r="N193" s="153"/>
      <c r="O193" s="133"/>
      <c r="P193" s="133"/>
      <c r="Q193" s="133"/>
      <c r="R193" s="124"/>
      <c r="S193" s="318">
        <f t="shared" si="155"/>
        <v>0</v>
      </c>
      <c r="T193" s="134"/>
      <c r="U193" s="261">
        <f t="shared" si="156"/>
        <v>5.1111111111111107</v>
      </c>
      <c r="V193" s="261">
        <f t="shared" si="157"/>
        <v>92</v>
      </c>
      <c r="W193" s="135">
        <f t="shared" si="153"/>
        <v>2</v>
      </c>
      <c r="X193" s="122"/>
      <c r="Y193" s="153"/>
      <c r="Z193" s="133"/>
      <c r="AA193" s="133"/>
      <c r="AB193" s="133"/>
      <c r="AC193" s="319"/>
      <c r="AD193" s="153"/>
      <c r="AE193" s="133"/>
      <c r="AF193" s="133"/>
      <c r="AG193" s="133"/>
      <c r="AH193" s="319"/>
      <c r="AI193" s="153"/>
      <c r="AJ193" s="133"/>
      <c r="AK193" s="133"/>
      <c r="AL193" s="133"/>
      <c r="AM193" s="319"/>
      <c r="AN193" s="153"/>
      <c r="AO193" s="133"/>
      <c r="AP193" s="133"/>
      <c r="AQ193" s="133"/>
      <c r="AR193" s="319"/>
      <c r="AS193" s="153"/>
      <c r="AT193" s="133"/>
      <c r="AU193" s="133"/>
      <c r="AV193" s="133"/>
      <c r="AW193" s="319"/>
      <c r="AX193" s="153"/>
      <c r="AY193" s="133"/>
      <c r="AZ193" s="133"/>
      <c r="BA193" s="133"/>
      <c r="BB193" s="319"/>
      <c r="BC193" s="153"/>
      <c r="BD193" s="133"/>
      <c r="BE193" s="133"/>
      <c r="BF193" s="133"/>
      <c r="BG193" s="319"/>
      <c r="BH193" s="153"/>
      <c r="BI193" s="133"/>
      <c r="BJ193" s="133"/>
      <c r="BK193" s="133"/>
      <c r="BL193" s="319"/>
      <c r="BM193" s="153"/>
      <c r="BN193" s="133"/>
      <c r="BO193" s="133"/>
      <c r="BP193" s="133"/>
      <c r="BQ193" s="319"/>
      <c r="BR193" s="153"/>
      <c r="BS193" s="133"/>
      <c r="BT193" s="133"/>
      <c r="BU193" s="133"/>
      <c r="BV193" s="319"/>
      <c r="BW193" s="153"/>
      <c r="BX193" s="133"/>
      <c r="BY193" s="133"/>
      <c r="BZ193" s="133"/>
      <c r="CA193" s="319"/>
      <c r="CB193" s="153"/>
      <c r="CC193" s="133"/>
      <c r="CD193" s="133"/>
      <c r="CE193" s="133"/>
      <c r="CF193" s="319"/>
      <c r="CG193" s="153"/>
      <c r="CH193" s="133"/>
      <c r="CI193" s="133"/>
      <c r="CJ193" s="133"/>
      <c r="CK193" s="319"/>
      <c r="CL193" s="153"/>
      <c r="CM193" s="133"/>
      <c r="CN193" s="133"/>
      <c r="CO193" s="133"/>
      <c r="CP193" s="319"/>
      <c r="CQ193" s="153"/>
      <c r="CR193" s="133"/>
      <c r="CS193" s="133"/>
      <c r="CT193" s="133"/>
      <c r="CU193" s="319"/>
      <c r="CV193" s="153"/>
      <c r="CW193" s="133"/>
      <c r="CX193" s="133"/>
      <c r="CY193" s="133"/>
      <c r="CZ193" s="319"/>
      <c r="DA193" s="153"/>
      <c r="DB193" s="133"/>
      <c r="DC193" s="133"/>
      <c r="DD193" s="133"/>
      <c r="DE193" s="319"/>
      <c r="DF193" s="153"/>
      <c r="DG193" s="133"/>
      <c r="DH193" s="133"/>
      <c r="DI193" s="133"/>
      <c r="DJ193" s="319"/>
      <c r="DK193" s="153"/>
      <c r="DL193" s="133"/>
      <c r="DM193" s="133"/>
      <c r="DN193" s="133"/>
      <c r="DO193" s="319"/>
      <c r="DP193" s="153"/>
      <c r="DQ193" s="133"/>
      <c r="DR193" s="133"/>
      <c r="DS193" s="133"/>
      <c r="DT193" s="319"/>
      <c r="DU193" s="307"/>
      <c r="DV193" s="307"/>
      <c r="DW193" s="307"/>
      <c r="DX193" s="307"/>
      <c r="DY193" s="319"/>
      <c r="DZ193" s="307"/>
      <c r="EA193" s="307"/>
      <c r="EB193" s="307"/>
      <c r="EC193" s="307"/>
      <c r="ED193" s="307"/>
      <c r="EE193" s="307"/>
      <c r="EF193" s="307"/>
      <c r="EG193" s="307"/>
      <c r="EH193" s="307"/>
      <c r="EI193" s="313"/>
      <c r="EJ193" s="307"/>
      <c r="EK193" s="307"/>
      <c r="EL193" s="307"/>
      <c r="EM193" s="307"/>
      <c r="EN193" s="313"/>
      <c r="EO193" s="307"/>
      <c r="EP193" s="307"/>
      <c r="EQ193" s="307"/>
      <c r="ER193" s="307"/>
      <c r="ES193" s="313"/>
      <c r="ET193" s="307"/>
      <c r="EU193" s="307"/>
      <c r="EV193" s="307"/>
      <c r="EW193" s="307"/>
      <c r="FB193" s="132">
        <v>7</v>
      </c>
      <c r="FC193" s="261">
        <v>18</v>
      </c>
      <c r="FD193" s="132">
        <v>2</v>
      </c>
      <c r="FE193" s="132">
        <v>92</v>
      </c>
      <c r="FF193" s="132">
        <v>0</v>
      </c>
      <c r="FG193" s="315" t="str">
        <f>IF(FF193=0,"-",FC193/FF193)</f>
        <v>-</v>
      </c>
      <c r="FH193" s="315">
        <f>IF(FC193=0,"-",FE193/FC193)</f>
        <v>5.1111111111111107</v>
      </c>
      <c r="FI193" s="317" t="str">
        <f>IF(FF193=0,"-",FE193/FF193)</f>
        <v>-</v>
      </c>
      <c r="FJ193" s="119"/>
      <c r="FK193" s="271">
        <v>2</v>
      </c>
      <c r="FL193" s="310"/>
      <c r="FM193" s="310"/>
      <c r="FN193" s="310"/>
      <c r="FO193" s="310"/>
      <c r="FP193" s="310"/>
      <c r="FQ193" s="310"/>
      <c r="FR193" s="310"/>
      <c r="FS193" s="310"/>
      <c r="FT193" s="310"/>
      <c r="FU193" s="126"/>
      <c r="FV193" s="126"/>
      <c r="FW193" s="126"/>
      <c r="FX193" s="126"/>
      <c r="FY193" s="126"/>
      <c r="FZ193" s="126"/>
      <c r="GA193" s="126"/>
      <c r="GB193" s="126"/>
      <c r="GC193" s="126"/>
      <c r="GD193" s="126"/>
    </row>
    <row r="194" spans="2:187" s="118" customFormat="1" ht="13.5" customHeight="1" x14ac:dyDescent="0.2">
      <c r="B194" s="131" t="s">
        <v>168</v>
      </c>
      <c r="C194" s="257" t="s">
        <v>38</v>
      </c>
      <c r="D194" s="132"/>
      <c r="E194" s="133"/>
      <c r="F194" s="315">
        <f t="shared" si="146"/>
        <v>0</v>
      </c>
      <c r="G194" s="316">
        <f t="shared" si="147"/>
        <v>0</v>
      </c>
      <c r="H194" s="316">
        <f t="shared" si="148"/>
        <v>0</v>
      </c>
      <c r="I194" s="316">
        <f t="shared" si="149"/>
        <v>0</v>
      </c>
      <c r="J194" s="315" t="str">
        <f>IF(I194=0,"-",F194/I194)</f>
        <v>-</v>
      </c>
      <c r="K194" s="315" t="str">
        <f>IF(F194=0,"-",H194/F194)</f>
        <v>-</v>
      </c>
      <c r="L194" s="317" t="str">
        <f>IF(I194=0,"-",H194/I194)</f>
        <v>-</v>
      </c>
      <c r="M194" s="134"/>
      <c r="N194" s="153"/>
      <c r="O194" s="133"/>
      <c r="P194" s="133"/>
      <c r="Q194" s="133"/>
      <c r="R194" s="124"/>
      <c r="S194" s="318">
        <f t="shared" si="155"/>
        <v>0</v>
      </c>
      <c r="T194" s="134"/>
      <c r="U194" s="261" t="e">
        <f t="shared" si="156"/>
        <v>#DIV/0!</v>
      </c>
      <c r="V194" s="261">
        <f t="shared" si="157"/>
        <v>0</v>
      </c>
      <c r="W194" s="135">
        <f t="shared" si="153"/>
        <v>4</v>
      </c>
      <c r="X194" s="122"/>
      <c r="Y194" s="153"/>
      <c r="Z194" s="133"/>
      <c r="AA194" s="133"/>
      <c r="AB194" s="133"/>
      <c r="AC194" s="319"/>
      <c r="AD194" s="153"/>
      <c r="AE194" s="133"/>
      <c r="AF194" s="133"/>
      <c r="AG194" s="133"/>
      <c r="AH194" s="319"/>
      <c r="AI194" s="153"/>
      <c r="AJ194" s="133"/>
      <c r="AK194" s="133"/>
      <c r="AL194" s="133"/>
      <c r="AM194" s="319"/>
      <c r="AN194" s="153"/>
      <c r="AO194" s="133"/>
      <c r="AP194" s="133"/>
      <c r="AQ194" s="133"/>
      <c r="AR194" s="319"/>
      <c r="AS194" s="153"/>
      <c r="AT194" s="133"/>
      <c r="AU194" s="133"/>
      <c r="AV194" s="133"/>
      <c r="AW194" s="319"/>
      <c r="AX194" s="153"/>
      <c r="AY194" s="133"/>
      <c r="AZ194" s="133"/>
      <c r="BA194" s="133"/>
      <c r="BB194" s="319"/>
      <c r="BC194" s="153"/>
      <c r="BD194" s="133"/>
      <c r="BE194" s="133"/>
      <c r="BF194" s="133"/>
      <c r="BG194" s="319"/>
      <c r="BH194" s="153"/>
      <c r="BI194" s="133"/>
      <c r="BJ194" s="133"/>
      <c r="BK194" s="133"/>
      <c r="BL194" s="319"/>
      <c r="BM194" s="153"/>
      <c r="BN194" s="133"/>
      <c r="BO194" s="133"/>
      <c r="BP194" s="133"/>
      <c r="BQ194" s="319"/>
      <c r="BR194" s="153"/>
      <c r="BS194" s="133"/>
      <c r="BT194" s="133"/>
      <c r="BU194" s="133"/>
      <c r="BV194" s="319"/>
      <c r="BW194" s="153"/>
      <c r="BX194" s="133"/>
      <c r="BY194" s="133"/>
      <c r="BZ194" s="133"/>
      <c r="CA194" s="319"/>
      <c r="CB194" s="153"/>
      <c r="CC194" s="133"/>
      <c r="CD194" s="133"/>
      <c r="CE194" s="133"/>
      <c r="CF194" s="319"/>
      <c r="CG194" s="153"/>
      <c r="CH194" s="133"/>
      <c r="CI194" s="133"/>
      <c r="CJ194" s="133"/>
      <c r="CK194" s="319"/>
      <c r="CL194" s="153"/>
      <c r="CM194" s="133"/>
      <c r="CN194" s="133"/>
      <c r="CO194" s="133"/>
      <c r="CP194" s="319"/>
      <c r="CQ194" s="153"/>
      <c r="CR194" s="133"/>
      <c r="CS194" s="133"/>
      <c r="CT194" s="133"/>
      <c r="CU194" s="319"/>
      <c r="CV194" s="153"/>
      <c r="CW194" s="133"/>
      <c r="CX194" s="133"/>
      <c r="CY194" s="133"/>
      <c r="CZ194" s="319"/>
      <c r="DA194" s="153"/>
      <c r="DB194" s="133"/>
      <c r="DC194" s="133"/>
      <c r="DD194" s="133"/>
      <c r="DE194" s="319"/>
      <c r="DF194" s="153"/>
      <c r="DG194" s="133"/>
      <c r="DH194" s="133"/>
      <c r="DI194" s="133"/>
      <c r="DJ194" s="319"/>
      <c r="DK194" s="153"/>
      <c r="DL194" s="133"/>
      <c r="DM194" s="133"/>
      <c r="DN194" s="133"/>
      <c r="DO194" s="319"/>
      <c r="DP194" s="153"/>
      <c r="DQ194" s="133"/>
      <c r="DR194" s="133"/>
      <c r="DS194" s="133"/>
      <c r="DT194" s="319"/>
      <c r="DU194" s="320"/>
      <c r="DV194" s="154"/>
      <c r="DW194" s="154"/>
      <c r="DX194" s="154"/>
      <c r="DY194" s="319"/>
      <c r="DZ194" s="320"/>
      <c r="EA194" s="154"/>
      <c r="EB194" s="154"/>
      <c r="EC194" s="154"/>
      <c r="ED194" s="313"/>
      <c r="EE194" s="307"/>
      <c r="EF194" s="307"/>
      <c r="EG194" s="307"/>
      <c r="EH194" s="307"/>
      <c r="EI194" s="313"/>
      <c r="EJ194" s="307"/>
      <c r="EK194" s="307"/>
      <c r="EL194" s="307"/>
      <c r="EM194" s="307"/>
      <c r="EN194" s="313"/>
      <c r="EO194" s="307"/>
      <c r="EP194" s="307"/>
      <c r="EQ194" s="307"/>
      <c r="ER194" s="307"/>
      <c r="ES194" s="313"/>
      <c r="ET194" s="307"/>
      <c r="EU194" s="307"/>
      <c r="EV194" s="307"/>
      <c r="EW194" s="307"/>
      <c r="FB194" s="132"/>
      <c r="FC194" s="261"/>
      <c r="FD194" s="132"/>
      <c r="FE194" s="132"/>
      <c r="FF194" s="132"/>
      <c r="FG194" s="315"/>
      <c r="FH194" s="315"/>
      <c r="FI194" s="317"/>
      <c r="FJ194" s="119"/>
      <c r="FK194" s="271">
        <v>4</v>
      </c>
      <c r="FL194" s="310"/>
      <c r="FM194" s="310"/>
      <c r="FN194" s="310"/>
      <c r="FO194" s="310"/>
      <c r="FP194" s="310"/>
      <c r="FQ194" s="310"/>
      <c r="FR194" s="310"/>
      <c r="FS194" s="310"/>
      <c r="FT194" s="310"/>
      <c r="FU194" s="126"/>
      <c r="FV194" s="126"/>
      <c r="FW194" s="126"/>
      <c r="FX194" s="126"/>
      <c r="FY194" s="126"/>
      <c r="FZ194" s="126"/>
      <c r="GA194" s="126"/>
      <c r="GB194" s="126"/>
      <c r="GC194" s="126"/>
      <c r="GD194" s="126"/>
    </row>
    <row r="195" spans="2:187" s="118" customFormat="1" ht="13.5" customHeight="1" x14ac:dyDescent="0.2">
      <c r="B195" s="131" t="s">
        <v>91</v>
      </c>
      <c r="C195" s="257" t="s">
        <v>32</v>
      </c>
      <c r="D195" s="132">
        <v>0</v>
      </c>
      <c r="E195" s="133"/>
      <c r="F195" s="316">
        <f t="shared" si="146"/>
        <v>0</v>
      </c>
      <c r="G195" s="316">
        <f t="shared" si="147"/>
        <v>0</v>
      </c>
      <c r="H195" s="316">
        <f t="shared" si="148"/>
        <v>0</v>
      </c>
      <c r="I195" s="316">
        <f t="shared" si="149"/>
        <v>0</v>
      </c>
      <c r="J195" s="315" t="str">
        <f t="shared" si="150"/>
        <v>-</v>
      </c>
      <c r="K195" s="315" t="str">
        <f t="shared" si="151"/>
        <v>-</v>
      </c>
      <c r="L195" s="317" t="str">
        <f t="shared" si="152"/>
        <v>-</v>
      </c>
      <c r="M195" s="134"/>
      <c r="N195" s="153"/>
      <c r="O195" s="133"/>
      <c r="P195" s="133"/>
      <c r="Q195" s="133"/>
      <c r="R195" s="124"/>
      <c r="S195" s="318">
        <f>I195*20-(H195/5)</f>
        <v>0</v>
      </c>
      <c r="T195" s="134"/>
      <c r="U195" s="261">
        <f t="shared" si="156"/>
        <v>4.333333333333333</v>
      </c>
      <c r="V195" s="261">
        <f t="shared" si="157"/>
        <v>26</v>
      </c>
      <c r="W195" s="135" t="str">
        <f t="shared" si="153"/>
        <v>3</v>
      </c>
      <c r="X195" s="122"/>
      <c r="Y195" s="261"/>
      <c r="Z195" s="133"/>
      <c r="AA195" s="133"/>
      <c r="AB195" s="133"/>
      <c r="AC195" s="319"/>
      <c r="AD195" s="261"/>
      <c r="AE195" s="133"/>
      <c r="AF195" s="133"/>
      <c r="AG195" s="133"/>
      <c r="AH195" s="319"/>
      <c r="AI195" s="261"/>
      <c r="AJ195" s="133"/>
      <c r="AK195" s="133"/>
      <c r="AL195" s="133"/>
      <c r="AM195" s="319"/>
      <c r="AN195" s="261"/>
      <c r="AO195" s="133"/>
      <c r="AP195" s="133"/>
      <c r="AQ195" s="133"/>
      <c r="AR195" s="319"/>
      <c r="AS195" s="261"/>
      <c r="AT195" s="133"/>
      <c r="AU195" s="133"/>
      <c r="AV195" s="133"/>
      <c r="AW195" s="319"/>
      <c r="AX195" s="261"/>
      <c r="AY195" s="133"/>
      <c r="AZ195" s="133"/>
      <c r="BA195" s="133"/>
      <c r="BB195" s="319"/>
      <c r="BC195" s="261"/>
      <c r="BD195" s="133"/>
      <c r="BE195" s="133"/>
      <c r="BF195" s="133"/>
      <c r="BG195" s="319"/>
      <c r="BH195" s="261"/>
      <c r="BI195" s="133"/>
      <c r="BJ195" s="133"/>
      <c r="BK195" s="133"/>
      <c r="BL195" s="319"/>
      <c r="BM195" s="261"/>
      <c r="BN195" s="133"/>
      <c r="BO195" s="133"/>
      <c r="BP195" s="133"/>
      <c r="BQ195" s="319"/>
      <c r="BR195" s="261"/>
      <c r="BS195" s="133"/>
      <c r="BT195" s="133"/>
      <c r="BU195" s="133"/>
      <c r="BV195" s="319"/>
      <c r="BW195" s="261"/>
      <c r="BX195" s="133"/>
      <c r="BY195" s="133"/>
      <c r="BZ195" s="133"/>
      <c r="CA195" s="319"/>
      <c r="CB195" s="261"/>
      <c r="CC195" s="133"/>
      <c r="CD195" s="133"/>
      <c r="CE195" s="133"/>
      <c r="CF195" s="319"/>
      <c r="CG195" s="261"/>
      <c r="CH195" s="133"/>
      <c r="CI195" s="133"/>
      <c r="CJ195" s="133"/>
      <c r="CK195" s="319"/>
      <c r="CL195" s="261"/>
      <c r="CM195" s="133"/>
      <c r="CN195" s="133"/>
      <c r="CO195" s="133"/>
      <c r="CP195" s="319"/>
      <c r="CQ195" s="261"/>
      <c r="CR195" s="133"/>
      <c r="CS195" s="133"/>
      <c r="CT195" s="133"/>
      <c r="CU195" s="319"/>
      <c r="CV195" s="261"/>
      <c r="CW195" s="133"/>
      <c r="CX195" s="133"/>
      <c r="CY195" s="133"/>
      <c r="CZ195" s="319"/>
      <c r="DA195" s="261"/>
      <c r="DB195" s="133"/>
      <c r="DC195" s="133"/>
      <c r="DD195" s="133"/>
      <c r="DE195" s="319"/>
      <c r="DF195" s="261"/>
      <c r="DG195" s="133"/>
      <c r="DH195" s="133"/>
      <c r="DI195" s="133"/>
      <c r="DJ195" s="319"/>
      <c r="DK195" s="261"/>
      <c r="DL195" s="133"/>
      <c r="DM195" s="133"/>
      <c r="DN195" s="133"/>
      <c r="DO195" s="319"/>
      <c r="DP195" s="261"/>
      <c r="DQ195" s="133"/>
      <c r="DR195" s="133"/>
      <c r="DS195" s="133"/>
      <c r="DT195" s="319"/>
      <c r="DU195" s="307"/>
      <c r="DV195" s="307"/>
      <c r="DW195" s="307"/>
      <c r="DX195" s="307"/>
      <c r="DY195" s="319"/>
      <c r="DZ195" s="307"/>
      <c r="EA195" s="307"/>
      <c r="EB195" s="307"/>
      <c r="EC195" s="307"/>
      <c r="ED195" s="307"/>
      <c r="EE195" s="307"/>
      <c r="EF195" s="307"/>
      <c r="EG195" s="307"/>
      <c r="EH195" s="307"/>
      <c r="EI195" s="313"/>
      <c r="EJ195" s="307"/>
      <c r="EK195" s="307"/>
      <c r="EL195" s="307"/>
      <c r="EM195" s="307"/>
      <c r="EN195" s="313"/>
      <c r="EO195" s="307"/>
      <c r="EP195" s="307"/>
      <c r="EQ195" s="307"/>
      <c r="ER195" s="307"/>
      <c r="ES195" s="313"/>
      <c r="ET195" s="307"/>
      <c r="EU195" s="307"/>
      <c r="EV195" s="307"/>
      <c r="EW195" s="307"/>
      <c r="FB195" s="261"/>
      <c r="FC195" s="261">
        <v>6</v>
      </c>
      <c r="FD195" s="153">
        <v>0</v>
      </c>
      <c r="FE195" s="153">
        <v>26</v>
      </c>
      <c r="FF195" s="153">
        <v>0</v>
      </c>
      <c r="FG195" s="315" t="str">
        <f>IF(OR(FC195="-",FF195=0),"-",FC195/FF195)</f>
        <v>-</v>
      </c>
      <c r="FH195" s="315">
        <f>IF(FC195="-","-",FE195/FC195)</f>
        <v>4.333333333333333</v>
      </c>
      <c r="FI195" s="317">
        <f>IF(OR(FC195="-",FF195=0),FE195,FE195/FF195)</f>
        <v>26</v>
      </c>
      <c r="FK195" s="271" t="s">
        <v>88</v>
      </c>
      <c r="FM195" s="126"/>
      <c r="FN195" s="126"/>
      <c r="FO195" s="126"/>
      <c r="FP195" s="126"/>
      <c r="FQ195" s="126"/>
      <c r="FR195" s="126"/>
      <c r="FS195" s="126"/>
      <c r="FT195" s="126"/>
      <c r="FU195" s="126"/>
      <c r="FV195" s="126"/>
      <c r="FW195" s="126"/>
      <c r="FX195" s="126"/>
      <c r="FY195" s="126"/>
      <c r="FZ195" s="126"/>
      <c r="GA195" s="126"/>
      <c r="GB195" s="126"/>
      <c r="GC195" s="126"/>
      <c r="GD195" s="126"/>
      <c r="GE195" s="126"/>
    </row>
    <row r="196" spans="2:187" s="118" customFormat="1" ht="13.5" customHeight="1" x14ac:dyDescent="0.2">
      <c r="B196" s="131" t="s">
        <v>33</v>
      </c>
      <c r="C196" s="257" t="s">
        <v>34</v>
      </c>
      <c r="D196" s="132">
        <v>9</v>
      </c>
      <c r="E196" s="133"/>
      <c r="F196" s="315">
        <f t="shared" si="146"/>
        <v>0</v>
      </c>
      <c r="G196" s="316">
        <f t="shared" si="147"/>
        <v>0</v>
      </c>
      <c r="H196" s="316">
        <f t="shared" si="148"/>
        <v>0</v>
      </c>
      <c r="I196" s="316">
        <f t="shared" si="149"/>
        <v>0</v>
      </c>
      <c r="J196" s="315" t="str">
        <f t="shared" si="150"/>
        <v>-</v>
      </c>
      <c r="K196" s="315" t="str">
        <f t="shared" si="151"/>
        <v>-</v>
      </c>
      <c r="L196" s="317" t="str">
        <f t="shared" si="152"/>
        <v>-</v>
      </c>
      <c r="M196" s="134"/>
      <c r="N196" s="153"/>
      <c r="O196" s="133"/>
      <c r="P196" s="133"/>
      <c r="Q196" s="133"/>
      <c r="R196" s="124"/>
      <c r="S196" s="318">
        <f>(I196*20)-(H196/5)</f>
        <v>0</v>
      </c>
      <c r="T196" s="335"/>
      <c r="U196" s="261">
        <f t="shared" si="156"/>
        <v>5.3565217391304349</v>
      </c>
      <c r="V196" s="261">
        <f t="shared" si="157"/>
        <v>23.692307692307693</v>
      </c>
      <c r="W196" s="135">
        <f t="shared" si="153"/>
        <v>3</v>
      </c>
      <c r="X196" s="122"/>
      <c r="Y196" s="153"/>
      <c r="Z196" s="133"/>
      <c r="AA196" s="133"/>
      <c r="AB196" s="133"/>
      <c r="AC196" s="292"/>
      <c r="AD196" s="153"/>
      <c r="AE196" s="133"/>
      <c r="AF196" s="133"/>
      <c r="AG196" s="133"/>
      <c r="AH196" s="292"/>
      <c r="AI196" s="153"/>
      <c r="AJ196" s="133"/>
      <c r="AK196" s="133"/>
      <c r="AL196" s="133"/>
      <c r="AM196" s="292"/>
      <c r="AN196" s="153"/>
      <c r="AO196" s="133"/>
      <c r="AP196" s="133"/>
      <c r="AQ196" s="133"/>
      <c r="AR196" s="292"/>
      <c r="AS196" s="153"/>
      <c r="AT196" s="133"/>
      <c r="AU196" s="133"/>
      <c r="AV196" s="133"/>
      <c r="AW196" s="292"/>
      <c r="AX196" s="153"/>
      <c r="AY196" s="133"/>
      <c r="AZ196" s="133"/>
      <c r="BA196" s="133"/>
      <c r="BB196" s="292"/>
      <c r="BC196" s="153"/>
      <c r="BD196" s="133"/>
      <c r="BE196" s="133"/>
      <c r="BF196" s="133"/>
      <c r="BG196" s="292"/>
      <c r="BH196" s="153"/>
      <c r="BI196" s="133"/>
      <c r="BJ196" s="133"/>
      <c r="BK196" s="133"/>
      <c r="BL196" s="292"/>
      <c r="BM196" s="153"/>
      <c r="BN196" s="133"/>
      <c r="BO196" s="133"/>
      <c r="BP196" s="133"/>
      <c r="BQ196" s="292"/>
      <c r="BR196" s="153"/>
      <c r="BS196" s="133"/>
      <c r="BT196" s="133"/>
      <c r="BU196" s="133"/>
      <c r="BV196" s="292"/>
      <c r="BW196" s="153"/>
      <c r="BX196" s="133"/>
      <c r="BY196" s="133"/>
      <c r="BZ196" s="133"/>
      <c r="CA196" s="292"/>
      <c r="CB196" s="153"/>
      <c r="CC196" s="133"/>
      <c r="CD196" s="133"/>
      <c r="CE196" s="133"/>
      <c r="CF196" s="292"/>
      <c r="CG196" s="153"/>
      <c r="CH196" s="133"/>
      <c r="CI196" s="133"/>
      <c r="CJ196" s="133"/>
      <c r="CK196" s="292"/>
      <c r="CL196" s="153"/>
      <c r="CM196" s="133"/>
      <c r="CN196" s="133"/>
      <c r="CO196" s="133"/>
      <c r="CP196" s="292"/>
      <c r="CQ196" s="153"/>
      <c r="CR196" s="133"/>
      <c r="CS196" s="133"/>
      <c r="CT196" s="133"/>
      <c r="CU196" s="292"/>
      <c r="CV196" s="153"/>
      <c r="CW196" s="133"/>
      <c r="CX196" s="133"/>
      <c r="CY196" s="133"/>
      <c r="CZ196" s="292"/>
      <c r="DA196" s="153"/>
      <c r="DB196" s="133"/>
      <c r="DC196" s="133"/>
      <c r="DD196" s="133"/>
      <c r="DE196" s="292"/>
      <c r="DF196" s="153"/>
      <c r="DG196" s="133"/>
      <c r="DH196" s="133"/>
      <c r="DI196" s="133"/>
      <c r="DJ196" s="292"/>
      <c r="DK196" s="153"/>
      <c r="DL196" s="133"/>
      <c r="DM196" s="133"/>
      <c r="DN196" s="133"/>
      <c r="DO196" s="292"/>
      <c r="DP196" s="153"/>
      <c r="DQ196" s="133"/>
      <c r="DR196" s="133"/>
      <c r="DS196" s="133"/>
      <c r="DT196" s="292"/>
      <c r="DU196" s="307"/>
      <c r="DV196" s="307"/>
      <c r="DW196" s="307"/>
      <c r="DX196" s="307"/>
      <c r="DY196" s="292"/>
      <c r="DZ196" s="307"/>
      <c r="EA196" s="307"/>
      <c r="EB196" s="307"/>
      <c r="EC196" s="307"/>
      <c r="ED196" s="307"/>
      <c r="EE196" s="307"/>
      <c r="EF196" s="307"/>
      <c r="EG196" s="307"/>
      <c r="EH196" s="307"/>
      <c r="EI196" s="313"/>
      <c r="EJ196" s="307"/>
      <c r="EK196" s="307"/>
      <c r="EL196" s="307"/>
      <c r="EM196" s="307"/>
      <c r="EN196" s="313"/>
      <c r="EO196" s="307"/>
      <c r="EP196" s="307"/>
      <c r="EQ196" s="307"/>
      <c r="ER196" s="307"/>
      <c r="ES196" s="313"/>
      <c r="ET196" s="307"/>
      <c r="EU196" s="307"/>
      <c r="EV196" s="307"/>
      <c r="EW196" s="307"/>
      <c r="FB196" s="132">
        <v>28</v>
      </c>
      <c r="FC196" s="261">
        <v>115</v>
      </c>
      <c r="FD196" s="132">
        <v>8</v>
      </c>
      <c r="FE196" s="132">
        <v>616</v>
      </c>
      <c r="FF196" s="132">
        <v>26</v>
      </c>
      <c r="FG196" s="315">
        <f>IF(FF196=0,"-",FC196/FF196)</f>
        <v>4.4230769230769234</v>
      </c>
      <c r="FH196" s="315">
        <f>IF(FC196=0,"-",FE196/FC196)</f>
        <v>5.3565217391304349</v>
      </c>
      <c r="FI196" s="317">
        <f>IF(FF196=0,"-",FE196/FF196)</f>
        <v>23.692307692307693</v>
      </c>
      <c r="FK196" s="135"/>
      <c r="FL196" s="310"/>
      <c r="FM196" s="310"/>
      <c r="FN196" s="310"/>
      <c r="FO196" s="310"/>
      <c r="FP196" s="310"/>
      <c r="FQ196" s="310"/>
      <c r="FR196" s="310"/>
      <c r="FS196" s="310"/>
      <c r="FT196" s="310"/>
      <c r="FU196" s="126"/>
      <c r="FV196" s="126"/>
      <c r="FW196" s="126"/>
      <c r="FX196" s="126"/>
      <c r="FY196" s="126"/>
      <c r="FZ196" s="126"/>
      <c r="GA196" s="126"/>
      <c r="GB196" s="126"/>
      <c r="GC196" s="126"/>
      <c r="GD196" s="126"/>
    </row>
    <row r="197" spans="2:187" s="118" customFormat="1" ht="13.5" customHeight="1" x14ac:dyDescent="0.2">
      <c r="B197" s="131" t="s">
        <v>56</v>
      </c>
      <c r="C197" s="257" t="s">
        <v>43</v>
      </c>
      <c r="D197" s="132">
        <v>14</v>
      </c>
      <c r="E197" s="133"/>
      <c r="F197" s="315">
        <f t="shared" si="146"/>
        <v>0</v>
      </c>
      <c r="G197" s="316">
        <f t="shared" si="147"/>
        <v>0</v>
      </c>
      <c r="H197" s="316">
        <f t="shared" si="148"/>
        <v>0</v>
      </c>
      <c r="I197" s="316">
        <f t="shared" si="149"/>
        <v>0</v>
      </c>
      <c r="J197" s="315" t="str">
        <f t="shared" si="150"/>
        <v>-</v>
      </c>
      <c r="K197" s="315" t="str">
        <f t="shared" si="151"/>
        <v>-</v>
      </c>
      <c r="L197" s="317" t="str">
        <f t="shared" si="152"/>
        <v>-</v>
      </c>
      <c r="M197" s="134"/>
      <c r="N197" s="153"/>
      <c r="O197" s="133"/>
      <c r="P197" s="133"/>
      <c r="Q197" s="133"/>
      <c r="R197" s="124"/>
      <c r="S197" s="318">
        <f>(I197*20)-(H197/5)</f>
        <v>0</v>
      </c>
      <c r="T197" s="134"/>
      <c r="U197" s="261">
        <f t="shared" si="156"/>
        <v>5.388758782201406</v>
      </c>
      <c r="V197" s="261">
        <f t="shared" si="157"/>
        <v>18.261904761904763</v>
      </c>
      <c r="W197" s="135">
        <f t="shared" si="153"/>
        <v>3.5</v>
      </c>
      <c r="X197" s="122"/>
      <c r="Y197" s="153"/>
      <c r="Z197" s="133"/>
      <c r="AA197" s="133"/>
      <c r="AB197" s="133"/>
      <c r="AC197" s="319"/>
      <c r="AD197" s="153"/>
      <c r="AE197" s="133"/>
      <c r="AF197" s="133"/>
      <c r="AG197" s="133"/>
      <c r="AH197" s="319"/>
      <c r="AI197" s="153"/>
      <c r="AJ197" s="133"/>
      <c r="AK197" s="133"/>
      <c r="AL197" s="133"/>
      <c r="AM197" s="319"/>
      <c r="AN197" s="153"/>
      <c r="AO197" s="133"/>
      <c r="AP197" s="133"/>
      <c r="AQ197" s="133"/>
      <c r="AR197" s="319"/>
      <c r="AS197" s="153"/>
      <c r="AT197" s="133"/>
      <c r="AU197" s="133"/>
      <c r="AV197" s="133"/>
      <c r="AW197" s="319"/>
      <c r="AX197" s="153"/>
      <c r="AY197" s="133"/>
      <c r="AZ197" s="133"/>
      <c r="BA197" s="133"/>
      <c r="BB197" s="319"/>
      <c r="BC197" s="153"/>
      <c r="BD197" s="133"/>
      <c r="BE197" s="133"/>
      <c r="BF197" s="133"/>
      <c r="BG197" s="319"/>
      <c r="BH197" s="153"/>
      <c r="BI197" s="133"/>
      <c r="BJ197" s="133"/>
      <c r="BK197" s="133"/>
      <c r="BL197" s="319"/>
      <c r="BM197" s="153"/>
      <c r="BN197" s="133"/>
      <c r="BO197" s="133"/>
      <c r="BP197" s="133"/>
      <c r="BQ197" s="319"/>
      <c r="BR197" s="153"/>
      <c r="BS197" s="133"/>
      <c r="BT197" s="133"/>
      <c r="BU197" s="133"/>
      <c r="BV197" s="319"/>
      <c r="BW197" s="153"/>
      <c r="BX197" s="133"/>
      <c r="BY197" s="133"/>
      <c r="BZ197" s="133"/>
      <c r="CA197" s="319"/>
      <c r="CB197" s="153"/>
      <c r="CC197" s="133"/>
      <c r="CD197" s="133"/>
      <c r="CE197" s="133"/>
      <c r="CF197" s="319"/>
      <c r="CG197" s="153"/>
      <c r="CH197" s="133"/>
      <c r="CI197" s="133"/>
      <c r="CJ197" s="133"/>
      <c r="CK197" s="319"/>
      <c r="CL197" s="153"/>
      <c r="CM197" s="133"/>
      <c r="CN197" s="133"/>
      <c r="CO197" s="133"/>
      <c r="CP197" s="319"/>
      <c r="CQ197" s="153"/>
      <c r="CR197" s="133"/>
      <c r="CS197" s="133"/>
      <c r="CT197" s="133"/>
      <c r="CU197" s="319"/>
      <c r="CV197" s="153"/>
      <c r="CW197" s="133"/>
      <c r="CX197" s="133"/>
      <c r="CY197" s="133"/>
      <c r="CZ197" s="319"/>
      <c r="DA197" s="153"/>
      <c r="DB197" s="133"/>
      <c r="DC197" s="133"/>
      <c r="DD197" s="133"/>
      <c r="DE197" s="319"/>
      <c r="DF197" s="153"/>
      <c r="DG197" s="133"/>
      <c r="DH197" s="133"/>
      <c r="DI197" s="133"/>
      <c r="DJ197" s="319"/>
      <c r="DK197" s="153"/>
      <c r="DL197" s="133"/>
      <c r="DM197" s="133"/>
      <c r="DN197" s="133"/>
      <c r="DO197" s="319"/>
      <c r="DP197" s="153"/>
      <c r="DQ197" s="133"/>
      <c r="DR197" s="133"/>
      <c r="DS197" s="133"/>
      <c r="DT197" s="319"/>
      <c r="DU197" s="307"/>
      <c r="DV197" s="307"/>
      <c r="DW197" s="307"/>
      <c r="DX197" s="307"/>
      <c r="DY197" s="319"/>
      <c r="DZ197" s="307"/>
      <c r="EA197" s="307"/>
      <c r="EB197" s="307"/>
      <c r="EC197" s="307"/>
      <c r="ED197" s="307"/>
      <c r="EE197" s="307"/>
      <c r="EF197" s="307"/>
      <c r="EG197" s="307"/>
      <c r="EH197" s="307"/>
      <c r="EI197" s="313"/>
      <c r="EJ197" s="307"/>
      <c r="EK197" s="307"/>
      <c r="EL197" s="307"/>
      <c r="EM197" s="307"/>
      <c r="EN197" s="313"/>
      <c r="EO197" s="307"/>
      <c r="EP197" s="307"/>
      <c r="EQ197" s="307"/>
      <c r="ER197" s="307"/>
      <c r="ES197" s="313"/>
      <c r="ET197" s="307"/>
      <c r="EU197" s="307"/>
      <c r="EV197" s="307"/>
      <c r="EW197" s="307"/>
      <c r="FB197" s="132">
        <v>68</v>
      </c>
      <c r="FC197" s="261">
        <v>284.66666666666663</v>
      </c>
      <c r="FD197" s="132">
        <v>19</v>
      </c>
      <c r="FE197" s="132">
        <v>1534</v>
      </c>
      <c r="FF197" s="132">
        <v>84</v>
      </c>
      <c r="FG197" s="315">
        <f>IF(FF197=0,"-",FC197/FF197)</f>
        <v>3.3888888888888884</v>
      </c>
      <c r="FH197" s="315">
        <f>IF(FC197=0,"-",FE197/FC197)</f>
        <v>5.388758782201406</v>
      </c>
      <c r="FI197" s="317">
        <f>IF(FF197=0,"-",FE197/FF197)</f>
        <v>18.261904761904763</v>
      </c>
      <c r="FJ197" s="119"/>
      <c r="FK197" s="135"/>
      <c r="FL197" s="310" t="s">
        <v>146</v>
      </c>
      <c r="FM197" s="310"/>
      <c r="FN197" s="310"/>
      <c r="FO197" s="310"/>
      <c r="FP197" s="310"/>
      <c r="FQ197" s="310"/>
      <c r="FR197" s="310"/>
      <c r="FS197" s="310"/>
      <c r="FT197" s="310"/>
      <c r="FU197" s="126"/>
      <c r="FV197" s="126"/>
      <c r="FW197" s="126"/>
      <c r="FX197" s="126"/>
      <c r="FY197" s="126"/>
      <c r="FZ197" s="126"/>
      <c r="GA197" s="126"/>
      <c r="GB197" s="126"/>
      <c r="GC197" s="126"/>
      <c r="GD197" s="126"/>
    </row>
    <row r="198" spans="2:187" s="118" customFormat="1" ht="13.5" customHeight="1" x14ac:dyDescent="0.2">
      <c r="B198" s="131" t="s">
        <v>158</v>
      </c>
      <c r="C198" s="257" t="s">
        <v>43</v>
      </c>
      <c r="D198" s="132">
        <v>1</v>
      </c>
      <c r="E198" s="133"/>
      <c r="F198" s="315">
        <f t="shared" si="146"/>
        <v>0</v>
      </c>
      <c r="G198" s="316">
        <f t="shared" si="147"/>
        <v>0</v>
      </c>
      <c r="H198" s="316">
        <f t="shared" si="148"/>
        <v>0</v>
      </c>
      <c r="I198" s="316">
        <f t="shared" si="149"/>
        <v>0</v>
      </c>
      <c r="J198" s="315" t="str">
        <f t="shared" si="150"/>
        <v>-</v>
      </c>
      <c r="K198" s="315" t="str">
        <f t="shared" si="151"/>
        <v>-</v>
      </c>
      <c r="L198" s="317" t="str">
        <f t="shared" si="152"/>
        <v>-</v>
      </c>
      <c r="M198" s="134"/>
      <c r="N198" s="261"/>
      <c r="O198" s="133"/>
      <c r="P198" s="133"/>
      <c r="Q198" s="133"/>
      <c r="R198" s="124"/>
      <c r="S198" s="318">
        <f>(I198*20)-(H198/5)</f>
        <v>0</v>
      </c>
      <c r="T198" s="134"/>
      <c r="U198" s="261">
        <f t="shared" si="156"/>
        <v>15</v>
      </c>
      <c r="V198" s="261">
        <f t="shared" si="157"/>
        <v>10</v>
      </c>
      <c r="W198" s="135">
        <f t="shared" si="153"/>
        <v>2</v>
      </c>
      <c r="X198" s="122"/>
      <c r="Y198" s="153"/>
      <c r="Z198" s="133"/>
      <c r="AA198" s="133"/>
      <c r="AB198" s="133"/>
      <c r="AC198" s="319"/>
      <c r="AD198" s="153"/>
      <c r="AE198" s="133"/>
      <c r="AF198" s="133"/>
      <c r="AG198" s="133"/>
      <c r="AH198" s="319"/>
      <c r="AI198" s="153"/>
      <c r="AJ198" s="133"/>
      <c r="AK198" s="133"/>
      <c r="AL198" s="133"/>
      <c r="AM198" s="319"/>
      <c r="AN198" s="153"/>
      <c r="AO198" s="133"/>
      <c r="AP198" s="133"/>
      <c r="AQ198" s="133"/>
      <c r="AR198" s="319"/>
      <c r="AS198" s="153"/>
      <c r="AT198" s="133"/>
      <c r="AU198" s="133"/>
      <c r="AV198" s="133"/>
      <c r="AW198" s="319"/>
      <c r="AX198" s="153"/>
      <c r="AY198" s="133"/>
      <c r="AZ198" s="133"/>
      <c r="BA198" s="133"/>
      <c r="BB198" s="319"/>
      <c r="BC198" s="153"/>
      <c r="BD198" s="133"/>
      <c r="BE198" s="133"/>
      <c r="BF198" s="133"/>
      <c r="BG198" s="319"/>
      <c r="BH198" s="153"/>
      <c r="BI198" s="133"/>
      <c r="BJ198" s="133"/>
      <c r="BK198" s="133"/>
      <c r="BL198" s="319"/>
      <c r="BM198" s="153"/>
      <c r="BN198" s="133"/>
      <c r="BO198" s="133"/>
      <c r="BP198" s="133"/>
      <c r="BQ198" s="319"/>
      <c r="BR198" s="153"/>
      <c r="BS198" s="133"/>
      <c r="BT198" s="133"/>
      <c r="BU198" s="133"/>
      <c r="BV198" s="319"/>
      <c r="BW198" s="153"/>
      <c r="BX198" s="133"/>
      <c r="BY198" s="133"/>
      <c r="BZ198" s="133"/>
      <c r="CA198" s="319"/>
      <c r="CB198" s="153"/>
      <c r="CC198" s="133"/>
      <c r="CD198" s="133"/>
      <c r="CE198" s="133"/>
      <c r="CF198" s="319"/>
      <c r="CG198" s="153"/>
      <c r="CH198" s="133"/>
      <c r="CI198" s="133"/>
      <c r="CJ198" s="133"/>
      <c r="CK198" s="319"/>
      <c r="CL198" s="153"/>
      <c r="CM198" s="133"/>
      <c r="CN198" s="133"/>
      <c r="CO198" s="133"/>
      <c r="CP198" s="319"/>
      <c r="CQ198" s="153"/>
      <c r="CR198" s="133"/>
      <c r="CS198" s="133"/>
      <c r="CT198" s="133"/>
      <c r="CU198" s="319"/>
      <c r="CV198" s="153"/>
      <c r="CW198" s="133"/>
      <c r="CX198" s="133"/>
      <c r="CY198" s="133"/>
      <c r="CZ198" s="319"/>
      <c r="DA198" s="153"/>
      <c r="DB198" s="133"/>
      <c r="DC198" s="133"/>
      <c r="DD198" s="133"/>
      <c r="DE198" s="319"/>
      <c r="DF198" s="153"/>
      <c r="DG198" s="133"/>
      <c r="DH198" s="133"/>
      <c r="DI198" s="133"/>
      <c r="DJ198" s="319"/>
      <c r="DK198" s="153"/>
      <c r="DL198" s="133"/>
      <c r="DM198" s="133"/>
      <c r="DN198" s="133"/>
      <c r="DO198" s="319"/>
      <c r="DP198" s="153"/>
      <c r="DQ198" s="133"/>
      <c r="DR198" s="133"/>
      <c r="DS198" s="133"/>
      <c r="DT198" s="319"/>
      <c r="DU198" s="307"/>
      <c r="DV198" s="307"/>
      <c r="DW198" s="307"/>
      <c r="DX198" s="307"/>
      <c r="DY198" s="319"/>
      <c r="DZ198" s="307"/>
      <c r="EA198" s="307"/>
      <c r="EB198" s="307"/>
      <c r="EC198" s="307"/>
      <c r="ED198" s="307"/>
      <c r="EE198" s="307"/>
      <c r="EF198" s="307"/>
      <c r="EG198" s="307"/>
      <c r="EH198" s="307"/>
      <c r="EI198" s="313"/>
      <c r="EJ198" s="307"/>
      <c r="EK198" s="307"/>
      <c r="EL198" s="307"/>
      <c r="EM198" s="307"/>
      <c r="EN198" s="313"/>
      <c r="EO198" s="307"/>
      <c r="EP198" s="307"/>
      <c r="EQ198" s="307"/>
      <c r="ER198" s="307"/>
      <c r="ES198" s="313"/>
      <c r="ET198" s="307"/>
      <c r="EU198" s="307"/>
      <c r="EV198" s="307"/>
      <c r="EW198" s="307"/>
      <c r="FB198" s="132">
        <v>1</v>
      </c>
      <c r="FC198" s="261">
        <v>0.66666666666666663</v>
      </c>
      <c r="FD198" s="132">
        <v>0</v>
      </c>
      <c r="FE198" s="132">
        <v>10</v>
      </c>
      <c r="FF198" s="132">
        <v>0</v>
      </c>
      <c r="FG198" s="315" t="str">
        <f>IF(FF198=0,"-",FC198/FF198)</f>
        <v>-</v>
      </c>
      <c r="FH198" s="315">
        <f>IF(FC198=0,"-",FE198/FC198)</f>
        <v>15</v>
      </c>
      <c r="FI198" s="317" t="str">
        <f>IF(FF198=0,"-",FE198/FF198)</f>
        <v>-</v>
      </c>
      <c r="FJ198" s="119"/>
      <c r="FK198" s="271">
        <v>2</v>
      </c>
      <c r="FL198" s="310"/>
      <c r="FM198" s="310"/>
      <c r="FN198" s="310"/>
      <c r="FO198" s="310"/>
      <c r="FP198" s="310"/>
      <c r="FQ198" s="310"/>
      <c r="FR198" s="310"/>
      <c r="FS198" s="310"/>
      <c r="FT198" s="310"/>
      <c r="FU198" s="310"/>
      <c r="FV198" s="126"/>
      <c r="FW198" s="126"/>
      <c r="FX198" s="126"/>
      <c r="FY198" s="126"/>
      <c r="FZ198" s="126"/>
      <c r="GA198" s="126"/>
      <c r="GB198" s="126"/>
      <c r="GC198" s="126"/>
      <c r="GD198" s="126"/>
    </row>
    <row r="199" spans="2:187" s="118" customFormat="1" ht="13.5" customHeight="1" x14ac:dyDescent="0.2">
      <c r="B199" s="131" t="s">
        <v>155</v>
      </c>
      <c r="C199" s="257" t="s">
        <v>34</v>
      </c>
      <c r="D199" s="132">
        <v>1</v>
      </c>
      <c r="E199" s="133"/>
      <c r="F199" s="315">
        <f t="shared" si="146"/>
        <v>0</v>
      </c>
      <c r="G199" s="316">
        <f t="shared" si="147"/>
        <v>0</v>
      </c>
      <c r="H199" s="316">
        <f t="shared" si="148"/>
        <v>0</v>
      </c>
      <c r="I199" s="316">
        <f t="shared" si="149"/>
        <v>0</v>
      </c>
      <c r="J199" s="315" t="str">
        <f t="shared" si="150"/>
        <v>-</v>
      </c>
      <c r="K199" s="315" t="str">
        <f t="shared" si="151"/>
        <v>-</v>
      </c>
      <c r="L199" s="317" t="str">
        <f t="shared" si="152"/>
        <v>-</v>
      </c>
      <c r="M199" s="134"/>
      <c r="N199" s="153"/>
      <c r="O199" s="316"/>
      <c r="P199" s="316"/>
      <c r="Q199" s="316"/>
      <c r="R199" s="124"/>
      <c r="S199" s="318">
        <f>(I199*20)-(H199/5)</f>
        <v>0</v>
      </c>
      <c r="T199" s="134"/>
      <c r="U199" s="261">
        <f t="shared" si="156"/>
        <v>3.375</v>
      </c>
      <c r="V199" s="261">
        <f t="shared" si="157"/>
        <v>27</v>
      </c>
      <c r="W199" s="135">
        <f t="shared" si="153"/>
        <v>2</v>
      </c>
      <c r="X199" s="122"/>
      <c r="Y199" s="153"/>
      <c r="Z199" s="133"/>
      <c r="AA199" s="133"/>
      <c r="AB199" s="133"/>
      <c r="AC199" s="319"/>
      <c r="AD199" s="153"/>
      <c r="AE199" s="133"/>
      <c r="AF199" s="133"/>
      <c r="AG199" s="133"/>
      <c r="AH199" s="319"/>
      <c r="AI199" s="153"/>
      <c r="AJ199" s="133"/>
      <c r="AK199" s="133"/>
      <c r="AL199" s="133"/>
      <c r="AM199" s="319"/>
      <c r="AN199" s="153"/>
      <c r="AO199" s="133"/>
      <c r="AP199" s="133"/>
      <c r="AQ199" s="133"/>
      <c r="AR199" s="319"/>
      <c r="AS199" s="153"/>
      <c r="AT199" s="133"/>
      <c r="AU199" s="133"/>
      <c r="AV199" s="133"/>
      <c r="AW199" s="319"/>
      <c r="AX199" s="153"/>
      <c r="AY199" s="133"/>
      <c r="AZ199" s="133"/>
      <c r="BA199" s="133"/>
      <c r="BB199" s="319"/>
      <c r="BC199" s="153"/>
      <c r="BD199" s="133"/>
      <c r="BE199" s="133"/>
      <c r="BF199" s="133"/>
      <c r="BG199" s="319"/>
      <c r="BH199" s="153"/>
      <c r="BI199" s="133"/>
      <c r="BJ199" s="133"/>
      <c r="BK199" s="133"/>
      <c r="BL199" s="319"/>
      <c r="BM199" s="153"/>
      <c r="BN199" s="133"/>
      <c r="BO199" s="133"/>
      <c r="BP199" s="133"/>
      <c r="BQ199" s="319"/>
      <c r="BR199" s="153"/>
      <c r="BS199" s="133"/>
      <c r="BT199" s="133"/>
      <c r="BU199" s="133"/>
      <c r="BV199" s="319"/>
      <c r="BW199" s="153"/>
      <c r="BX199" s="133"/>
      <c r="BY199" s="133"/>
      <c r="BZ199" s="133"/>
      <c r="CA199" s="319"/>
      <c r="CB199" s="153"/>
      <c r="CC199" s="133"/>
      <c r="CD199" s="133"/>
      <c r="CE199" s="133"/>
      <c r="CF199" s="319"/>
      <c r="CG199" s="153"/>
      <c r="CH199" s="133"/>
      <c r="CI199" s="133"/>
      <c r="CJ199" s="133"/>
      <c r="CK199" s="319"/>
      <c r="CL199" s="153"/>
      <c r="CM199" s="133"/>
      <c r="CN199" s="133"/>
      <c r="CO199" s="133"/>
      <c r="CP199" s="319"/>
      <c r="CQ199" s="153"/>
      <c r="CR199" s="133"/>
      <c r="CS199" s="133"/>
      <c r="CT199" s="133"/>
      <c r="CU199" s="319"/>
      <c r="CV199" s="153"/>
      <c r="CW199" s="133"/>
      <c r="CX199" s="133"/>
      <c r="CY199" s="133"/>
      <c r="CZ199" s="319"/>
      <c r="DA199" s="153"/>
      <c r="DB199" s="133"/>
      <c r="DC199" s="133"/>
      <c r="DD199" s="133"/>
      <c r="DE199" s="319"/>
      <c r="DF199" s="153"/>
      <c r="DG199" s="133"/>
      <c r="DH199" s="133"/>
      <c r="DI199" s="133"/>
      <c r="DJ199" s="319"/>
      <c r="DK199" s="153"/>
      <c r="DL199" s="133"/>
      <c r="DM199" s="133"/>
      <c r="DN199" s="133"/>
      <c r="DO199" s="319"/>
      <c r="DP199" s="153"/>
      <c r="DQ199" s="133"/>
      <c r="DR199" s="133"/>
      <c r="DS199" s="133"/>
      <c r="DT199" s="319"/>
      <c r="DU199" s="307"/>
      <c r="DV199" s="307"/>
      <c r="DW199" s="307"/>
      <c r="DX199" s="307"/>
      <c r="DY199" s="319"/>
      <c r="DZ199" s="307"/>
      <c r="EA199" s="307"/>
      <c r="EB199" s="307"/>
      <c r="EC199" s="307"/>
      <c r="ED199" s="307"/>
      <c r="EE199" s="307"/>
      <c r="EF199" s="307"/>
      <c r="EG199" s="307"/>
      <c r="EH199" s="307"/>
      <c r="EI199" s="313"/>
      <c r="EJ199" s="307"/>
      <c r="EK199" s="307"/>
      <c r="EL199" s="307"/>
      <c r="EM199" s="307"/>
      <c r="EN199" s="313"/>
      <c r="EO199" s="307"/>
      <c r="EP199" s="307"/>
      <c r="EQ199" s="307"/>
      <c r="ER199" s="307"/>
      <c r="ES199" s="313"/>
      <c r="ET199" s="307"/>
      <c r="EU199" s="307"/>
      <c r="EV199" s="307"/>
      <c r="EW199" s="307"/>
      <c r="FB199" s="132">
        <v>1</v>
      </c>
      <c r="FC199" s="261">
        <v>8</v>
      </c>
      <c r="FD199" s="132">
        <v>0</v>
      </c>
      <c r="FE199" s="132">
        <v>27</v>
      </c>
      <c r="FF199" s="132">
        <v>1</v>
      </c>
      <c r="FG199" s="315">
        <f>IF(FF199=0,"-",FC199/FF199)</f>
        <v>8</v>
      </c>
      <c r="FH199" s="315">
        <f>IF(FC199=0,"-",FE199/FC199)</f>
        <v>3.375</v>
      </c>
      <c r="FI199" s="317">
        <f>IF(FF199=0,"-",FE199/FF199)</f>
        <v>27</v>
      </c>
      <c r="FK199" s="271">
        <v>2</v>
      </c>
      <c r="FL199" s="310"/>
      <c r="FM199" s="310"/>
      <c r="FN199" s="310"/>
      <c r="FO199" s="310"/>
      <c r="FP199" s="310"/>
      <c r="FQ199" s="310"/>
      <c r="FR199" s="310"/>
      <c r="FS199" s="310"/>
      <c r="FT199" s="310"/>
      <c r="FU199" s="126"/>
      <c r="FV199" s="126"/>
      <c r="FW199" s="126"/>
      <c r="FX199" s="126"/>
      <c r="FY199" s="126"/>
      <c r="FZ199" s="126"/>
      <c r="GA199" s="126"/>
      <c r="GB199" s="126"/>
      <c r="GC199" s="126"/>
      <c r="GD199" s="126"/>
    </row>
    <row r="200" spans="2:187" s="118" customFormat="1" ht="13.5" customHeight="1" x14ac:dyDescent="0.2">
      <c r="B200" s="131" t="s">
        <v>89</v>
      </c>
      <c r="C200" s="257" t="s">
        <v>32</v>
      </c>
      <c r="D200" s="132">
        <v>0</v>
      </c>
      <c r="E200" s="133"/>
      <c r="F200" s="316">
        <f t="shared" si="146"/>
        <v>0</v>
      </c>
      <c r="G200" s="316">
        <f t="shared" si="147"/>
        <v>0</v>
      </c>
      <c r="H200" s="316">
        <f t="shared" si="148"/>
        <v>0</v>
      </c>
      <c r="I200" s="316">
        <f t="shared" si="149"/>
        <v>0</v>
      </c>
      <c r="J200" s="315" t="str">
        <f t="shared" si="150"/>
        <v>-</v>
      </c>
      <c r="K200" s="315" t="str">
        <f t="shared" si="151"/>
        <v>-</v>
      </c>
      <c r="L200" s="317" t="str">
        <f t="shared" si="152"/>
        <v>-</v>
      </c>
      <c r="M200" s="134"/>
      <c r="N200" s="153"/>
      <c r="O200" s="133"/>
      <c r="P200" s="133"/>
      <c r="Q200" s="133"/>
      <c r="R200" s="124"/>
      <c r="S200" s="318">
        <f>I200*20-(H200/5)</f>
        <v>0</v>
      </c>
      <c r="T200" s="335"/>
      <c r="U200" s="261">
        <f t="shared" si="156"/>
        <v>4.75</v>
      </c>
      <c r="V200" s="261">
        <f t="shared" si="157"/>
        <v>19</v>
      </c>
      <c r="W200" s="135">
        <f t="shared" si="153"/>
        <v>3</v>
      </c>
      <c r="X200" s="122"/>
      <c r="Y200" s="261"/>
      <c r="Z200" s="133"/>
      <c r="AA200" s="133"/>
      <c r="AB200" s="133"/>
      <c r="AC200" s="292"/>
      <c r="AD200" s="261"/>
      <c r="AE200" s="133"/>
      <c r="AF200" s="133"/>
      <c r="AG200" s="133"/>
      <c r="AH200" s="292"/>
      <c r="AI200" s="261"/>
      <c r="AJ200" s="133"/>
      <c r="AK200" s="133"/>
      <c r="AL200" s="133"/>
      <c r="AM200" s="292"/>
      <c r="AN200" s="261"/>
      <c r="AO200" s="133"/>
      <c r="AP200" s="133"/>
      <c r="AQ200" s="133"/>
      <c r="AR200" s="292"/>
      <c r="AS200" s="261"/>
      <c r="AT200" s="133"/>
      <c r="AU200" s="133"/>
      <c r="AV200" s="133"/>
      <c r="AW200" s="292"/>
      <c r="AX200" s="261"/>
      <c r="AY200" s="133"/>
      <c r="AZ200" s="133"/>
      <c r="BA200" s="133"/>
      <c r="BB200" s="292"/>
      <c r="BC200" s="261"/>
      <c r="BD200" s="133"/>
      <c r="BE200" s="133"/>
      <c r="BF200" s="133"/>
      <c r="BG200" s="292"/>
      <c r="BH200" s="261"/>
      <c r="BI200" s="133"/>
      <c r="BJ200" s="133"/>
      <c r="BK200" s="133"/>
      <c r="BL200" s="292"/>
      <c r="BM200" s="261"/>
      <c r="BN200" s="133"/>
      <c r="BO200" s="133"/>
      <c r="BP200" s="133"/>
      <c r="BQ200" s="292"/>
      <c r="BR200" s="261"/>
      <c r="BS200" s="133"/>
      <c r="BT200" s="133"/>
      <c r="BU200" s="133"/>
      <c r="BV200" s="292"/>
      <c r="BW200" s="261"/>
      <c r="BX200" s="133"/>
      <c r="BY200" s="133"/>
      <c r="BZ200" s="133"/>
      <c r="CA200" s="292"/>
      <c r="CB200" s="261"/>
      <c r="CC200" s="133"/>
      <c r="CD200" s="133"/>
      <c r="CE200" s="133"/>
      <c r="CF200" s="292"/>
      <c r="CG200" s="261"/>
      <c r="CH200" s="133"/>
      <c r="CI200" s="133"/>
      <c r="CJ200" s="133"/>
      <c r="CK200" s="292"/>
      <c r="CL200" s="261"/>
      <c r="CM200" s="133"/>
      <c r="CN200" s="133"/>
      <c r="CO200" s="133"/>
      <c r="CP200" s="292"/>
      <c r="CQ200" s="261"/>
      <c r="CR200" s="133"/>
      <c r="CS200" s="133"/>
      <c r="CT200" s="133"/>
      <c r="CU200" s="292"/>
      <c r="CV200" s="261"/>
      <c r="CW200" s="133"/>
      <c r="CX200" s="133"/>
      <c r="CY200" s="133"/>
      <c r="CZ200" s="292"/>
      <c r="DA200" s="261"/>
      <c r="DB200" s="133"/>
      <c r="DC200" s="133"/>
      <c r="DD200" s="133"/>
      <c r="DE200" s="292"/>
      <c r="DF200" s="261"/>
      <c r="DG200" s="133"/>
      <c r="DH200" s="133"/>
      <c r="DI200" s="133"/>
      <c r="DJ200" s="292"/>
      <c r="DK200" s="261"/>
      <c r="DL200" s="133"/>
      <c r="DM200" s="133"/>
      <c r="DN200" s="133"/>
      <c r="DO200" s="292"/>
      <c r="DP200" s="261"/>
      <c r="DQ200" s="133"/>
      <c r="DR200" s="133"/>
      <c r="DS200" s="133"/>
      <c r="DT200" s="292"/>
      <c r="DU200" s="307"/>
      <c r="DV200" s="307"/>
      <c r="DW200" s="307"/>
      <c r="DX200" s="307"/>
      <c r="DY200" s="292"/>
      <c r="DZ200" s="307"/>
      <c r="EA200" s="307"/>
      <c r="EB200" s="307"/>
      <c r="EC200" s="307"/>
      <c r="ED200" s="307"/>
      <c r="EE200" s="307"/>
      <c r="EF200" s="307"/>
      <c r="EG200" s="307"/>
      <c r="EH200" s="307"/>
      <c r="EI200" s="313"/>
      <c r="EJ200" s="307"/>
      <c r="EK200" s="307"/>
      <c r="EL200" s="307"/>
      <c r="EM200" s="307"/>
      <c r="EN200" s="313"/>
      <c r="EO200" s="307"/>
      <c r="EP200" s="307"/>
      <c r="EQ200" s="307"/>
      <c r="ER200" s="307"/>
      <c r="ES200" s="313"/>
      <c r="ET200" s="307"/>
      <c r="EU200" s="307"/>
      <c r="EV200" s="307"/>
      <c r="EW200" s="307"/>
      <c r="FB200" s="261"/>
      <c r="FC200" s="261">
        <v>4</v>
      </c>
      <c r="FD200" s="153">
        <v>0</v>
      </c>
      <c r="FE200" s="153">
        <v>19</v>
      </c>
      <c r="FF200" s="153">
        <v>1</v>
      </c>
      <c r="FG200" s="315">
        <f>IF(OR(FC200="-",FF200=0),"-",FC200/FF200)</f>
        <v>4</v>
      </c>
      <c r="FH200" s="315">
        <f>IF(FC200="-","-",FE200/FC200)</f>
        <v>4.75</v>
      </c>
      <c r="FI200" s="317">
        <f>IF(OR(FC200="-",FF200=0),FE200,FE200/FF200)</f>
        <v>19</v>
      </c>
      <c r="FK200" s="271">
        <v>3</v>
      </c>
      <c r="FM200" s="126"/>
      <c r="FN200" s="126"/>
      <c r="FO200" s="126"/>
      <c r="FP200" s="126"/>
      <c r="FQ200" s="126"/>
      <c r="FR200" s="126"/>
      <c r="FS200" s="126"/>
      <c r="FT200" s="126"/>
      <c r="FU200" s="126"/>
      <c r="FV200" s="126"/>
      <c r="FW200" s="126"/>
      <c r="FX200" s="126"/>
      <c r="FY200" s="126"/>
      <c r="FZ200" s="126"/>
      <c r="GA200" s="126"/>
      <c r="GB200" s="126"/>
      <c r="GC200" s="126"/>
      <c r="GD200" s="126"/>
      <c r="GE200" s="126"/>
    </row>
    <row r="201" spans="2:187" s="118" customFormat="1" ht="13.5" customHeight="1" x14ac:dyDescent="0.2">
      <c r="B201" s="131" t="s">
        <v>142</v>
      </c>
      <c r="C201" s="257" t="s">
        <v>34</v>
      </c>
      <c r="D201" s="132">
        <v>2</v>
      </c>
      <c r="E201" s="133"/>
      <c r="F201" s="315">
        <f t="shared" si="146"/>
        <v>0</v>
      </c>
      <c r="G201" s="316">
        <f t="shared" si="147"/>
        <v>0</v>
      </c>
      <c r="H201" s="316">
        <f t="shared" si="148"/>
        <v>0</v>
      </c>
      <c r="I201" s="316">
        <f t="shared" si="149"/>
        <v>0</v>
      </c>
      <c r="J201" s="315" t="str">
        <f t="shared" si="150"/>
        <v>-</v>
      </c>
      <c r="K201" s="315" t="str">
        <f t="shared" si="151"/>
        <v>-</v>
      </c>
      <c r="L201" s="317" t="str">
        <f t="shared" si="152"/>
        <v>-</v>
      </c>
      <c r="M201" s="134"/>
      <c r="N201" s="132"/>
      <c r="O201" s="133"/>
      <c r="P201" s="133"/>
      <c r="Q201" s="133"/>
      <c r="R201" s="124"/>
      <c r="S201" s="318">
        <f>(I201*20)-(H201/5)</f>
        <v>0</v>
      </c>
      <c r="T201" s="134"/>
      <c r="U201" s="261">
        <f t="shared" si="156"/>
        <v>4.68</v>
      </c>
      <c r="V201" s="261">
        <f t="shared" si="157"/>
        <v>13</v>
      </c>
      <c r="W201" s="135">
        <f t="shared" si="153"/>
        <v>3</v>
      </c>
      <c r="X201" s="122"/>
      <c r="Y201" s="261"/>
      <c r="Z201" s="133"/>
      <c r="AA201" s="133"/>
      <c r="AB201" s="133"/>
      <c r="AC201" s="319"/>
      <c r="AD201" s="261"/>
      <c r="AE201" s="133"/>
      <c r="AF201" s="133"/>
      <c r="AG201" s="133"/>
      <c r="AH201" s="319"/>
      <c r="AI201" s="261"/>
      <c r="AJ201" s="133"/>
      <c r="AK201" s="133"/>
      <c r="AL201" s="133"/>
      <c r="AM201" s="319"/>
      <c r="AN201" s="261"/>
      <c r="AO201" s="133"/>
      <c r="AP201" s="133"/>
      <c r="AQ201" s="133"/>
      <c r="AR201" s="319"/>
      <c r="AS201" s="261"/>
      <c r="AT201" s="133"/>
      <c r="AU201" s="133"/>
      <c r="AV201" s="133"/>
      <c r="AW201" s="319"/>
      <c r="AX201" s="261"/>
      <c r="AY201" s="133"/>
      <c r="AZ201" s="133"/>
      <c r="BA201" s="133"/>
      <c r="BB201" s="319"/>
      <c r="BC201" s="261"/>
      <c r="BD201" s="133"/>
      <c r="BE201" s="133"/>
      <c r="BF201" s="133"/>
      <c r="BG201" s="319"/>
      <c r="BH201" s="261"/>
      <c r="BI201" s="133"/>
      <c r="BJ201" s="133"/>
      <c r="BK201" s="133"/>
      <c r="BL201" s="319"/>
      <c r="BM201" s="261"/>
      <c r="BN201" s="133"/>
      <c r="BO201" s="133"/>
      <c r="BP201" s="133"/>
      <c r="BQ201" s="319"/>
      <c r="BR201" s="261"/>
      <c r="BS201" s="133"/>
      <c r="BT201" s="133"/>
      <c r="BU201" s="133"/>
      <c r="BV201" s="319"/>
      <c r="BW201" s="261"/>
      <c r="BX201" s="133"/>
      <c r="BY201" s="133"/>
      <c r="BZ201" s="133"/>
      <c r="CA201" s="319"/>
      <c r="CB201" s="261"/>
      <c r="CC201" s="133"/>
      <c r="CD201" s="133"/>
      <c r="CE201" s="133"/>
      <c r="CF201" s="319"/>
      <c r="CG201" s="261"/>
      <c r="CH201" s="133"/>
      <c r="CI201" s="133"/>
      <c r="CJ201" s="133"/>
      <c r="CK201" s="319"/>
      <c r="CL201" s="261"/>
      <c r="CM201" s="133"/>
      <c r="CN201" s="133"/>
      <c r="CO201" s="133"/>
      <c r="CP201" s="319"/>
      <c r="CQ201" s="261"/>
      <c r="CR201" s="133"/>
      <c r="CS201" s="133"/>
      <c r="CT201" s="133"/>
      <c r="CU201" s="319"/>
      <c r="CV201" s="261"/>
      <c r="CW201" s="133"/>
      <c r="CX201" s="133"/>
      <c r="CY201" s="133"/>
      <c r="CZ201" s="319"/>
      <c r="DA201" s="261"/>
      <c r="DB201" s="133"/>
      <c r="DC201" s="133"/>
      <c r="DD201" s="133"/>
      <c r="DE201" s="319"/>
      <c r="DF201" s="261"/>
      <c r="DG201" s="133"/>
      <c r="DH201" s="133"/>
      <c r="DI201" s="133"/>
      <c r="DJ201" s="319"/>
      <c r="DK201" s="261"/>
      <c r="DL201" s="133"/>
      <c r="DM201" s="133"/>
      <c r="DN201" s="133"/>
      <c r="DO201" s="319"/>
      <c r="DP201" s="261"/>
      <c r="DQ201" s="133"/>
      <c r="DR201" s="133"/>
      <c r="DS201" s="133"/>
      <c r="DT201" s="319"/>
      <c r="DU201" s="307"/>
      <c r="DV201" s="307"/>
      <c r="DW201" s="307"/>
      <c r="DX201" s="307"/>
      <c r="DY201" s="319"/>
      <c r="DZ201" s="307"/>
      <c r="EA201" s="307"/>
      <c r="EB201" s="307"/>
      <c r="EC201" s="307"/>
      <c r="ED201" s="307"/>
      <c r="EE201" s="307"/>
      <c r="EF201" s="307"/>
      <c r="EG201" s="307"/>
      <c r="EH201" s="307"/>
      <c r="EI201" s="313"/>
      <c r="EJ201" s="307"/>
      <c r="EK201" s="307"/>
      <c r="EL201" s="307"/>
      <c r="EM201" s="307"/>
      <c r="EN201" s="313"/>
      <c r="EO201" s="307"/>
      <c r="EP201" s="307"/>
      <c r="EQ201" s="307"/>
      <c r="ER201" s="307"/>
      <c r="ES201" s="313"/>
      <c r="ET201" s="307"/>
      <c r="EU201" s="307"/>
      <c r="EV201" s="307"/>
      <c r="EW201" s="307"/>
      <c r="FB201" s="132">
        <v>2</v>
      </c>
      <c r="FC201" s="261">
        <v>8.3333333333333339</v>
      </c>
      <c r="FD201" s="132">
        <v>0</v>
      </c>
      <c r="FE201" s="132">
        <v>39</v>
      </c>
      <c r="FF201" s="132">
        <v>3</v>
      </c>
      <c r="FG201" s="315">
        <f>IF(FF201=0,"-",FC201/FF201)</f>
        <v>2.7777777777777781</v>
      </c>
      <c r="FH201" s="315">
        <f>IF(FC201=0,"-",FE201/FC201)</f>
        <v>4.68</v>
      </c>
      <c r="FI201" s="317">
        <f>IF(FF201=0,"-",FE201/FF201)</f>
        <v>13</v>
      </c>
      <c r="FJ201" s="119"/>
      <c r="FK201" s="271">
        <v>3</v>
      </c>
      <c r="FL201" s="310"/>
      <c r="FM201" s="310"/>
      <c r="FN201" s="310"/>
      <c r="FO201" s="310"/>
      <c r="FP201" s="310"/>
      <c r="FQ201" s="310"/>
      <c r="FR201" s="310"/>
      <c r="FS201" s="310"/>
      <c r="FT201" s="310"/>
      <c r="FU201" s="126"/>
      <c r="FV201" s="126"/>
      <c r="FW201" s="126"/>
      <c r="FX201" s="126"/>
      <c r="FY201" s="126"/>
      <c r="FZ201" s="126"/>
      <c r="GA201" s="126"/>
      <c r="GB201" s="126"/>
      <c r="GC201" s="126"/>
      <c r="GD201" s="126"/>
    </row>
    <row r="202" spans="2:187" s="118" customFormat="1" ht="13.5" customHeight="1" x14ac:dyDescent="0.2">
      <c r="B202" s="131" t="s">
        <v>39</v>
      </c>
      <c r="C202" s="257" t="s">
        <v>32</v>
      </c>
      <c r="D202" s="132">
        <v>6</v>
      </c>
      <c r="E202" s="133"/>
      <c r="F202" s="315">
        <f t="shared" si="146"/>
        <v>0</v>
      </c>
      <c r="G202" s="316">
        <f t="shared" si="147"/>
        <v>0</v>
      </c>
      <c r="H202" s="316">
        <f t="shared" si="148"/>
        <v>0</v>
      </c>
      <c r="I202" s="316">
        <f t="shared" si="149"/>
        <v>0</v>
      </c>
      <c r="J202" s="315" t="str">
        <f t="shared" si="150"/>
        <v>-</v>
      </c>
      <c r="K202" s="315" t="str">
        <f t="shared" si="151"/>
        <v>-</v>
      </c>
      <c r="L202" s="317" t="str">
        <f t="shared" si="152"/>
        <v>-</v>
      </c>
      <c r="M202" s="134"/>
      <c r="N202" s="153"/>
      <c r="O202" s="133"/>
      <c r="P202" s="133"/>
      <c r="Q202" s="133"/>
      <c r="R202" s="124"/>
      <c r="S202" s="318">
        <f>(I202*20)-(H202/5)</f>
        <v>0</v>
      </c>
      <c r="T202" s="134"/>
      <c r="U202" s="261">
        <f t="shared" si="156"/>
        <v>5.2388059701492544</v>
      </c>
      <c r="V202" s="261">
        <f t="shared" si="157"/>
        <v>19.5</v>
      </c>
      <c r="W202" s="135">
        <f t="shared" si="153"/>
        <v>3.5</v>
      </c>
      <c r="X202" s="122"/>
      <c r="Y202" s="153"/>
      <c r="Z202" s="133"/>
      <c r="AA202" s="133"/>
      <c r="AB202" s="133"/>
      <c r="AC202" s="319"/>
      <c r="AD202" s="153"/>
      <c r="AE202" s="133"/>
      <c r="AF202" s="133"/>
      <c r="AG202" s="133"/>
      <c r="AH202" s="319"/>
      <c r="AI202" s="153"/>
      <c r="AJ202" s="133"/>
      <c r="AK202" s="133"/>
      <c r="AL202" s="133"/>
      <c r="AM202" s="319"/>
      <c r="AN202" s="153"/>
      <c r="AO202" s="133"/>
      <c r="AP202" s="133"/>
      <c r="AQ202" s="133"/>
      <c r="AR202" s="319"/>
      <c r="AS202" s="153"/>
      <c r="AT202" s="133"/>
      <c r="AU202" s="133"/>
      <c r="AV202" s="133"/>
      <c r="AW202" s="319"/>
      <c r="AX202" s="153"/>
      <c r="AY202" s="133"/>
      <c r="AZ202" s="133"/>
      <c r="BA202" s="133"/>
      <c r="BB202" s="319"/>
      <c r="BC202" s="153"/>
      <c r="BD202" s="133"/>
      <c r="BE202" s="133"/>
      <c r="BF202" s="133"/>
      <c r="BG202" s="319"/>
      <c r="BH202" s="153"/>
      <c r="BI202" s="133"/>
      <c r="BJ202" s="133"/>
      <c r="BK202" s="133"/>
      <c r="BL202" s="319"/>
      <c r="BM202" s="153"/>
      <c r="BN202" s="133"/>
      <c r="BO202" s="133"/>
      <c r="BP202" s="133"/>
      <c r="BQ202" s="319"/>
      <c r="BR202" s="153"/>
      <c r="BS202" s="133"/>
      <c r="BT202" s="133"/>
      <c r="BU202" s="133"/>
      <c r="BV202" s="319"/>
      <c r="BW202" s="153"/>
      <c r="BX202" s="133"/>
      <c r="BY202" s="133"/>
      <c r="BZ202" s="133"/>
      <c r="CA202" s="319"/>
      <c r="CB202" s="153"/>
      <c r="CC202" s="133"/>
      <c r="CD202" s="133"/>
      <c r="CE202" s="133"/>
      <c r="CF202" s="319"/>
      <c r="CG202" s="153"/>
      <c r="CH202" s="133"/>
      <c r="CI202" s="133"/>
      <c r="CJ202" s="133"/>
      <c r="CK202" s="319"/>
      <c r="CL202" s="153"/>
      <c r="CM202" s="133"/>
      <c r="CN202" s="133"/>
      <c r="CO202" s="133"/>
      <c r="CP202" s="319"/>
      <c r="CQ202" s="153"/>
      <c r="CR202" s="133"/>
      <c r="CS202" s="133"/>
      <c r="CT202" s="133"/>
      <c r="CU202" s="319"/>
      <c r="CV202" s="153"/>
      <c r="CW202" s="133"/>
      <c r="CX202" s="133"/>
      <c r="CY202" s="133"/>
      <c r="CZ202" s="319"/>
      <c r="DA202" s="153"/>
      <c r="DB202" s="133"/>
      <c r="DC202" s="133"/>
      <c r="DD202" s="133"/>
      <c r="DE202" s="319"/>
      <c r="DF202" s="153"/>
      <c r="DG202" s="133"/>
      <c r="DH202" s="133"/>
      <c r="DI202" s="133"/>
      <c r="DJ202" s="319"/>
      <c r="DK202" s="153"/>
      <c r="DL202" s="133"/>
      <c r="DM202" s="133"/>
      <c r="DN202" s="133"/>
      <c r="DO202" s="319"/>
      <c r="DP202" s="153"/>
      <c r="DQ202" s="133"/>
      <c r="DR202" s="133"/>
      <c r="DS202" s="133"/>
      <c r="DT202" s="319"/>
      <c r="DU202" s="307"/>
      <c r="DV202" s="307"/>
      <c r="DW202" s="307"/>
      <c r="DX202" s="307"/>
      <c r="DY202" s="319"/>
      <c r="DZ202" s="307"/>
      <c r="EA202" s="307"/>
      <c r="EB202" s="307"/>
      <c r="EC202" s="307"/>
      <c r="ED202" s="307"/>
      <c r="EE202" s="307"/>
      <c r="EF202" s="307"/>
      <c r="EG202" s="307"/>
      <c r="EH202" s="307"/>
      <c r="EI202" s="313"/>
      <c r="EJ202" s="307"/>
      <c r="EK202" s="307"/>
      <c r="EL202" s="307"/>
      <c r="EM202" s="307"/>
      <c r="EN202" s="313"/>
      <c r="EO202" s="307"/>
      <c r="EP202" s="307"/>
      <c r="EQ202" s="307"/>
      <c r="ER202" s="307"/>
      <c r="ES202" s="313"/>
      <c r="ET202" s="307"/>
      <c r="EU202" s="307"/>
      <c r="EV202" s="307"/>
      <c r="EW202" s="307"/>
      <c r="FB202" s="132">
        <v>29</v>
      </c>
      <c r="FC202" s="261">
        <v>156.33333333333331</v>
      </c>
      <c r="FD202" s="132">
        <v>13</v>
      </c>
      <c r="FE202" s="132">
        <v>819</v>
      </c>
      <c r="FF202" s="132">
        <v>42</v>
      </c>
      <c r="FG202" s="315">
        <f>IF(FF202=0,"-",FC202/FF202)</f>
        <v>3.7222222222222219</v>
      </c>
      <c r="FH202" s="315">
        <f>IF(FC202=0,"-",FE202/FC202)</f>
        <v>5.2388059701492544</v>
      </c>
      <c r="FI202" s="317">
        <f>IF(FF202=0,"-",FE202/FF202)</f>
        <v>19.5</v>
      </c>
      <c r="FJ202" s="119"/>
      <c r="FK202" s="135"/>
      <c r="FL202" s="310"/>
      <c r="FM202" s="310"/>
      <c r="FN202" s="310"/>
      <c r="FO202" s="310"/>
      <c r="FP202" s="310"/>
      <c r="FQ202" s="310"/>
      <c r="FR202" s="310"/>
      <c r="FS202" s="310"/>
      <c r="FT202" s="310"/>
      <c r="FU202" s="126"/>
      <c r="FV202" s="126"/>
      <c r="FW202" s="126"/>
      <c r="FX202" s="126"/>
      <c r="FY202" s="126"/>
      <c r="FZ202" s="126"/>
      <c r="GA202" s="126"/>
      <c r="GB202" s="126"/>
      <c r="GC202" s="126"/>
      <c r="GD202" s="126"/>
    </row>
    <row r="203" spans="2:187" s="118" customFormat="1" ht="13.5" customHeight="1" x14ac:dyDescent="0.2">
      <c r="B203" s="131" t="s">
        <v>152</v>
      </c>
      <c r="C203" s="257" t="s">
        <v>34</v>
      </c>
      <c r="D203" s="132">
        <v>1</v>
      </c>
      <c r="E203" s="133"/>
      <c r="F203" s="315">
        <f t="shared" si="146"/>
        <v>0</v>
      </c>
      <c r="G203" s="316">
        <f t="shared" si="147"/>
        <v>0</v>
      </c>
      <c r="H203" s="316">
        <f t="shared" si="148"/>
        <v>0</v>
      </c>
      <c r="I203" s="316">
        <f t="shared" si="149"/>
        <v>0</v>
      </c>
      <c r="J203" s="315" t="str">
        <f t="shared" si="150"/>
        <v>-</v>
      </c>
      <c r="K203" s="315" t="str">
        <f t="shared" si="151"/>
        <v>-</v>
      </c>
      <c r="L203" s="317" t="str">
        <f t="shared" si="152"/>
        <v>-</v>
      </c>
      <c r="M203" s="134"/>
      <c r="N203" s="153"/>
      <c r="O203" s="133"/>
      <c r="P203" s="133"/>
      <c r="Q203" s="133"/>
      <c r="R203" s="124"/>
      <c r="S203" s="318">
        <f>(I203*20)-(H203/5)</f>
        <v>0</v>
      </c>
      <c r="T203" s="134"/>
      <c r="U203" s="261">
        <f t="shared" si="156"/>
        <v>7.4285714285714288</v>
      </c>
      <c r="V203" s="261">
        <f t="shared" si="157"/>
        <v>52</v>
      </c>
      <c r="W203" s="135">
        <f t="shared" si="153"/>
        <v>3</v>
      </c>
      <c r="X203" s="122"/>
      <c r="Y203" s="153"/>
      <c r="Z203" s="133"/>
      <c r="AA203" s="133"/>
      <c r="AB203" s="133"/>
      <c r="AC203" s="319"/>
      <c r="AD203" s="153"/>
      <c r="AE203" s="133"/>
      <c r="AF203" s="133"/>
      <c r="AG203" s="133"/>
      <c r="AH203" s="319"/>
      <c r="AI203" s="153"/>
      <c r="AJ203" s="133"/>
      <c r="AK203" s="133"/>
      <c r="AL203" s="133"/>
      <c r="AM203" s="319"/>
      <c r="AN203" s="153"/>
      <c r="AO203" s="133"/>
      <c r="AP203" s="133"/>
      <c r="AQ203" s="133"/>
      <c r="AR203" s="319"/>
      <c r="AS203" s="153"/>
      <c r="AT203" s="133"/>
      <c r="AU203" s="133"/>
      <c r="AV203" s="133"/>
      <c r="AW203" s="319"/>
      <c r="AX203" s="153"/>
      <c r="AY203" s="133"/>
      <c r="AZ203" s="133"/>
      <c r="BA203" s="133"/>
      <c r="BB203" s="319"/>
      <c r="BC203" s="153"/>
      <c r="BD203" s="133"/>
      <c r="BE203" s="133"/>
      <c r="BF203" s="133"/>
      <c r="BG203" s="319"/>
      <c r="BH203" s="153"/>
      <c r="BI203" s="133"/>
      <c r="BJ203" s="133"/>
      <c r="BK203" s="133"/>
      <c r="BL203" s="319"/>
      <c r="BM203" s="153"/>
      <c r="BN203" s="133"/>
      <c r="BO203" s="133"/>
      <c r="BP203" s="133"/>
      <c r="BQ203" s="319"/>
      <c r="BR203" s="153"/>
      <c r="BS203" s="133"/>
      <c r="BT203" s="133"/>
      <c r="BU203" s="133"/>
      <c r="BV203" s="319"/>
      <c r="BW203" s="153"/>
      <c r="BX203" s="133"/>
      <c r="BY203" s="133"/>
      <c r="BZ203" s="133"/>
      <c r="CA203" s="319"/>
      <c r="CB203" s="153"/>
      <c r="CC203" s="133"/>
      <c r="CD203" s="133"/>
      <c r="CE203" s="133"/>
      <c r="CF203" s="319"/>
      <c r="CG203" s="153"/>
      <c r="CH203" s="133"/>
      <c r="CI203" s="133"/>
      <c r="CJ203" s="133"/>
      <c r="CK203" s="319"/>
      <c r="CL203" s="153"/>
      <c r="CM203" s="133"/>
      <c r="CN203" s="133"/>
      <c r="CO203" s="133"/>
      <c r="CP203" s="319"/>
      <c r="CQ203" s="153"/>
      <c r="CR203" s="133"/>
      <c r="CS203" s="133"/>
      <c r="CT203" s="133"/>
      <c r="CU203" s="319"/>
      <c r="CV203" s="153"/>
      <c r="CW203" s="133"/>
      <c r="CX203" s="133"/>
      <c r="CY203" s="133"/>
      <c r="CZ203" s="319"/>
      <c r="DA203" s="153"/>
      <c r="DB203" s="133"/>
      <c r="DC203" s="133"/>
      <c r="DD203" s="133"/>
      <c r="DE203" s="319"/>
      <c r="DF203" s="153"/>
      <c r="DG203" s="133"/>
      <c r="DH203" s="133"/>
      <c r="DI203" s="133"/>
      <c r="DJ203" s="319"/>
      <c r="DK203" s="153"/>
      <c r="DL203" s="133"/>
      <c r="DM203" s="133"/>
      <c r="DN203" s="133"/>
      <c r="DO203" s="319"/>
      <c r="DP203" s="153"/>
      <c r="DQ203" s="133"/>
      <c r="DR203" s="133"/>
      <c r="DS203" s="133"/>
      <c r="DT203" s="319"/>
      <c r="DU203" s="307"/>
      <c r="DV203" s="307"/>
      <c r="DW203" s="307"/>
      <c r="DX203" s="307"/>
      <c r="DY203" s="319"/>
      <c r="DZ203" s="307"/>
      <c r="EA203" s="307"/>
      <c r="EB203" s="307"/>
      <c r="EC203" s="307"/>
      <c r="ED203" s="307"/>
      <c r="EE203" s="307"/>
      <c r="EF203" s="307"/>
      <c r="EG203" s="307"/>
      <c r="EH203" s="307"/>
      <c r="EI203" s="313"/>
      <c r="EJ203" s="307"/>
      <c r="EK203" s="307"/>
      <c r="EL203" s="307"/>
      <c r="EM203" s="307"/>
      <c r="EN203" s="313"/>
      <c r="EO203" s="307"/>
      <c r="EP203" s="307"/>
      <c r="EQ203" s="307"/>
      <c r="ER203" s="307"/>
      <c r="ES203" s="313"/>
      <c r="ET203" s="307"/>
      <c r="EU203" s="307"/>
      <c r="EV203" s="307"/>
      <c r="EW203" s="307"/>
      <c r="FB203" s="132">
        <v>1</v>
      </c>
      <c r="FC203" s="261">
        <v>7</v>
      </c>
      <c r="FD203" s="132">
        <v>2</v>
      </c>
      <c r="FE203" s="132">
        <v>52</v>
      </c>
      <c r="FF203" s="132">
        <v>0</v>
      </c>
      <c r="FG203" s="315" t="str">
        <f>IF(FF203=0,"-",FC203/FF203)</f>
        <v>-</v>
      </c>
      <c r="FH203" s="315">
        <f>IF(FC203=0,"-",FE203/FC203)</f>
        <v>7.4285714285714288</v>
      </c>
      <c r="FI203" s="317" t="str">
        <f>IF(FF203=0,"-",FE203/FF203)</f>
        <v>-</v>
      </c>
      <c r="FK203" s="271">
        <v>3</v>
      </c>
      <c r="FL203" s="310"/>
      <c r="FM203" s="310"/>
      <c r="FN203" s="310"/>
      <c r="FO203" s="310"/>
      <c r="FP203" s="310"/>
      <c r="FQ203" s="310"/>
      <c r="FR203" s="310"/>
      <c r="FS203" s="310"/>
      <c r="FT203" s="310"/>
      <c r="FU203" s="126"/>
      <c r="FV203" s="126"/>
      <c r="FW203" s="126"/>
      <c r="FX203" s="126"/>
      <c r="FY203" s="126"/>
      <c r="FZ203" s="126"/>
      <c r="GA203" s="126"/>
      <c r="GB203" s="126"/>
      <c r="GC203" s="126"/>
      <c r="GD203" s="126"/>
    </row>
    <row r="204" spans="2:187" s="118" customFormat="1" ht="13.5" customHeight="1" x14ac:dyDescent="0.2">
      <c r="B204" s="131" t="s">
        <v>37</v>
      </c>
      <c r="C204" s="257" t="s">
        <v>34</v>
      </c>
      <c r="D204" s="132">
        <v>18</v>
      </c>
      <c r="E204" s="133"/>
      <c r="F204" s="315">
        <f t="shared" si="146"/>
        <v>0</v>
      </c>
      <c r="G204" s="316">
        <f t="shared" si="147"/>
        <v>0</v>
      </c>
      <c r="H204" s="316">
        <f t="shared" si="148"/>
        <v>0</v>
      </c>
      <c r="I204" s="316">
        <f t="shared" si="149"/>
        <v>0</v>
      </c>
      <c r="J204" s="315" t="str">
        <f t="shared" si="150"/>
        <v>-</v>
      </c>
      <c r="K204" s="315" t="str">
        <f t="shared" si="151"/>
        <v>-</v>
      </c>
      <c r="L204" s="317" t="str">
        <f t="shared" si="152"/>
        <v>-</v>
      </c>
      <c r="M204" s="134"/>
      <c r="N204" s="153"/>
      <c r="O204" s="133"/>
      <c r="P204" s="133"/>
      <c r="Q204" s="133"/>
      <c r="R204" s="124"/>
      <c r="S204" s="318">
        <f>(I204*20)-(H204/5)</f>
        <v>0</v>
      </c>
      <c r="T204" s="134"/>
      <c r="U204" s="261">
        <f t="shared" si="156"/>
        <v>5.8415841584158414</v>
      </c>
      <c r="V204" s="261">
        <f t="shared" si="157"/>
        <v>19.032258064516128</v>
      </c>
      <c r="W204" s="135">
        <f t="shared" si="153"/>
        <v>3</v>
      </c>
      <c r="X204" s="122"/>
      <c r="Y204" s="153"/>
      <c r="Z204" s="133"/>
      <c r="AA204" s="133"/>
      <c r="AB204" s="133"/>
      <c r="AC204" s="319"/>
      <c r="AD204" s="153"/>
      <c r="AE204" s="133"/>
      <c r="AF204" s="133"/>
      <c r="AG204" s="133"/>
      <c r="AH204" s="319"/>
      <c r="AI204" s="153"/>
      <c r="AJ204" s="133"/>
      <c r="AK204" s="133"/>
      <c r="AL204" s="133"/>
      <c r="AM204" s="319"/>
      <c r="AN204" s="153"/>
      <c r="AO204" s="133"/>
      <c r="AP204" s="133"/>
      <c r="AQ204" s="133"/>
      <c r="AR204" s="319"/>
      <c r="AS204" s="153"/>
      <c r="AT204" s="133"/>
      <c r="AU204" s="133"/>
      <c r="AV204" s="133"/>
      <c r="AW204" s="319"/>
      <c r="AX204" s="153"/>
      <c r="AY204" s="133"/>
      <c r="AZ204" s="133"/>
      <c r="BA204" s="133"/>
      <c r="BB204" s="319"/>
      <c r="BC204" s="153"/>
      <c r="BD204" s="133"/>
      <c r="BE204" s="133"/>
      <c r="BF204" s="133"/>
      <c r="BG204" s="319"/>
      <c r="BH204" s="153"/>
      <c r="BI204" s="133"/>
      <c r="BJ204" s="133"/>
      <c r="BK204" s="133"/>
      <c r="BL204" s="319"/>
      <c r="BM204" s="153"/>
      <c r="BN204" s="133"/>
      <c r="BO204" s="133"/>
      <c r="BP204" s="133"/>
      <c r="BQ204" s="319"/>
      <c r="BR204" s="153"/>
      <c r="BS204" s="133"/>
      <c r="BT204" s="133"/>
      <c r="BU204" s="133"/>
      <c r="BV204" s="319"/>
      <c r="BW204" s="153"/>
      <c r="BX204" s="133"/>
      <c r="BY204" s="133"/>
      <c r="BZ204" s="133"/>
      <c r="CA204" s="319"/>
      <c r="CB204" s="153"/>
      <c r="CC204" s="133"/>
      <c r="CD204" s="133"/>
      <c r="CE204" s="133"/>
      <c r="CF204" s="319"/>
      <c r="CG204" s="153"/>
      <c r="CH204" s="133"/>
      <c r="CI204" s="133"/>
      <c r="CJ204" s="133"/>
      <c r="CK204" s="319"/>
      <c r="CL204" s="153"/>
      <c r="CM204" s="133"/>
      <c r="CN204" s="133"/>
      <c r="CO204" s="133"/>
      <c r="CP204" s="319"/>
      <c r="CQ204" s="153"/>
      <c r="CR204" s="133"/>
      <c r="CS204" s="133"/>
      <c r="CT204" s="133"/>
      <c r="CU204" s="319"/>
      <c r="CV204" s="153"/>
      <c r="CW204" s="133"/>
      <c r="CX204" s="133"/>
      <c r="CY204" s="133"/>
      <c r="CZ204" s="319"/>
      <c r="DA204" s="153"/>
      <c r="DB204" s="133"/>
      <c r="DC204" s="133"/>
      <c r="DD204" s="133"/>
      <c r="DE204" s="319"/>
      <c r="DF204" s="153"/>
      <c r="DG204" s="133"/>
      <c r="DH204" s="133"/>
      <c r="DI204" s="133"/>
      <c r="DJ204" s="319"/>
      <c r="DK204" s="153"/>
      <c r="DL204" s="133"/>
      <c r="DM204" s="133"/>
      <c r="DN204" s="133"/>
      <c r="DO204" s="319"/>
      <c r="DP204" s="153"/>
      <c r="DQ204" s="133"/>
      <c r="DR204" s="133"/>
      <c r="DS204" s="133"/>
      <c r="DT204" s="319"/>
      <c r="DU204" s="307"/>
      <c r="DV204" s="307"/>
      <c r="DW204" s="307"/>
      <c r="DX204" s="307"/>
      <c r="DY204" s="319"/>
      <c r="DZ204" s="307"/>
      <c r="EA204" s="307"/>
      <c r="EB204" s="307"/>
      <c r="EC204" s="307"/>
      <c r="ED204" s="307"/>
      <c r="EE204" s="307"/>
      <c r="EF204" s="307"/>
      <c r="EG204" s="307"/>
      <c r="EH204" s="307"/>
      <c r="EI204" s="313"/>
      <c r="EJ204" s="307"/>
      <c r="EK204" s="307"/>
      <c r="EL204" s="307"/>
      <c r="EM204" s="307"/>
      <c r="EN204" s="313"/>
      <c r="EO204" s="307"/>
      <c r="EP204" s="307"/>
      <c r="EQ204" s="307"/>
      <c r="ER204" s="307"/>
      <c r="ES204" s="313"/>
      <c r="ET204" s="307"/>
      <c r="EU204" s="307"/>
      <c r="EV204" s="307"/>
      <c r="EW204" s="307"/>
      <c r="FB204" s="132">
        <v>66</v>
      </c>
      <c r="FC204" s="261">
        <v>101</v>
      </c>
      <c r="FD204" s="132">
        <v>8</v>
      </c>
      <c r="FE204" s="132">
        <v>590</v>
      </c>
      <c r="FF204" s="132">
        <v>31</v>
      </c>
      <c r="FG204" s="315">
        <f>IF(FF204=0,"-",FC204/FF204)</f>
        <v>3.2580645161290325</v>
      </c>
      <c r="FH204" s="315">
        <f>IF(FC204=0,"-",FE204/FC204)</f>
        <v>5.8415841584158414</v>
      </c>
      <c r="FI204" s="317">
        <f>IF(FF204=0,"-",FE204/FF204)</f>
        <v>19.032258064516128</v>
      </c>
      <c r="FJ204" s="119"/>
      <c r="FK204" s="271"/>
      <c r="FL204" s="310"/>
      <c r="FM204" s="310"/>
      <c r="FN204" s="310"/>
      <c r="FO204" s="310"/>
      <c r="FP204" s="310"/>
      <c r="FQ204" s="310"/>
      <c r="FR204" s="310"/>
      <c r="FS204" s="310"/>
      <c r="FT204" s="310"/>
      <c r="FU204" s="126"/>
      <c r="FV204" s="126"/>
      <c r="FW204" s="126"/>
      <c r="FX204" s="126"/>
      <c r="FY204" s="126"/>
      <c r="FZ204" s="126"/>
      <c r="GA204" s="126"/>
      <c r="GB204" s="126"/>
      <c r="GC204" s="126"/>
      <c r="GD204" s="126"/>
    </row>
    <row r="205" spans="2:187" s="118" customFormat="1" ht="13.5" customHeight="1" x14ac:dyDescent="0.2">
      <c r="B205" s="131" t="s">
        <v>149</v>
      </c>
      <c r="C205" s="257" t="s">
        <v>38</v>
      </c>
      <c r="D205" s="132">
        <v>1</v>
      </c>
      <c r="E205" s="133"/>
      <c r="F205" s="315">
        <f t="shared" si="146"/>
        <v>0</v>
      </c>
      <c r="G205" s="316">
        <f t="shared" si="147"/>
        <v>0</v>
      </c>
      <c r="H205" s="316">
        <f t="shared" si="148"/>
        <v>0</v>
      </c>
      <c r="I205" s="316">
        <f t="shared" si="149"/>
        <v>0</v>
      </c>
      <c r="J205" s="315" t="str">
        <f t="shared" si="150"/>
        <v>-</v>
      </c>
      <c r="K205" s="315" t="str">
        <f t="shared" si="151"/>
        <v>-</v>
      </c>
      <c r="L205" s="317" t="str">
        <f t="shared" si="152"/>
        <v>-</v>
      </c>
      <c r="M205" s="134"/>
      <c r="N205" s="316"/>
      <c r="O205" s="133"/>
      <c r="P205" s="133"/>
      <c r="Q205" s="132"/>
      <c r="R205" s="124"/>
      <c r="S205" s="318">
        <f>(I205*20)-(H205/5)</f>
        <v>0</v>
      </c>
      <c r="T205" s="134"/>
      <c r="U205" s="261">
        <f t="shared" si="156"/>
        <v>6</v>
      </c>
      <c r="V205" s="261">
        <f t="shared" si="157"/>
        <v>18</v>
      </c>
      <c r="W205" s="135">
        <f t="shared" si="153"/>
        <v>2</v>
      </c>
      <c r="X205" s="122"/>
      <c r="Y205" s="153"/>
      <c r="Z205" s="133"/>
      <c r="AA205" s="133"/>
      <c r="AB205" s="133"/>
      <c r="AC205" s="319"/>
      <c r="AD205" s="153"/>
      <c r="AE205" s="133"/>
      <c r="AF205" s="133"/>
      <c r="AG205" s="133"/>
      <c r="AH205" s="319"/>
      <c r="AI205" s="153"/>
      <c r="AJ205" s="133"/>
      <c r="AK205" s="133"/>
      <c r="AL205" s="133"/>
      <c r="AM205" s="319"/>
      <c r="AN205" s="153"/>
      <c r="AO205" s="133"/>
      <c r="AP205" s="133"/>
      <c r="AQ205" s="133"/>
      <c r="AR205" s="319"/>
      <c r="AS205" s="153"/>
      <c r="AT205" s="133"/>
      <c r="AU205" s="133"/>
      <c r="AV205" s="133"/>
      <c r="AW205" s="319"/>
      <c r="AX205" s="153"/>
      <c r="AY205" s="133"/>
      <c r="AZ205" s="133"/>
      <c r="BA205" s="133"/>
      <c r="BB205" s="319"/>
      <c r="BC205" s="153"/>
      <c r="BD205" s="133"/>
      <c r="BE205" s="133"/>
      <c r="BF205" s="133"/>
      <c r="BG205" s="319"/>
      <c r="BH205" s="153"/>
      <c r="BI205" s="133"/>
      <c r="BJ205" s="133"/>
      <c r="BK205" s="133"/>
      <c r="BL205" s="319"/>
      <c r="BM205" s="153"/>
      <c r="BN205" s="133"/>
      <c r="BO205" s="133"/>
      <c r="BP205" s="133"/>
      <c r="BQ205" s="319"/>
      <c r="BR205" s="153"/>
      <c r="BS205" s="133"/>
      <c r="BT205" s="133"/>
      <c r="BU205" s="133"/>
      <c r="BV205" s="319"/>
      <c r="BW205" s="153"/>
      <c r="BX205" s="133"/>
      <c r="BY205" s="133"/>
      <c r="BZ205" s="133"/>
      <c r="CA205" s="319"/>
      <c r="CB205" s="153"/>
      <c r="CC205" s="133"/>
      <c r="CD205" s="133"/>
      <c r="CE205" s="133"/>
      <c r="CF205" s="319"/>
      <c r="CG205" s="153"/>
      <c r="CH205" s="133"/>
      <c r="CI205" s="133"/>
      <c r="CJ205" s="133"/>
      <c r="CK205" s="319"/>
      <c r="CL205" s="153"/>
      <c r="CM205" s="133"/>
      <c r="CN205" s="133"/>
      <c r="CO205" s="133"/>
      <c r="CP205" s="319"/>
      <c r="CQ205" s="153"/>
      <c r="CR205" s="133"/>
      <c r="CS205" s="133"/>
      <c r="CT205" s="133"/>
      <c r="CU205" s="319"/>
      <c r="CV205" s="153"/>
      <c r="CW205" s="133"/>
      <c r="CX205" s="133"/>
      <c r="CY205" s="133"/>
      <c r="CZ205" s="319"/>
      <c r="DA205" s="153"/>
      <c r="DB205" s="133"/>
      <c r="DC205" s="133"/>
      <c r="DD205" s="133"/>
      <c r="DE205" s="319"/>
      <c r="DF205" s="153"/>
      <c r="DG205" s="133"/>
      <c r="DH205" s="133"/>
      <c r="DI205" s="133"/>
      <c r="DJ205" s="319"/>
      <c r="DK205" s="153"/>
      <c r="DL205" s="133"/>
      <c r="DM205" s="133"/>
      <c r="DN205" s="133"/>
      <c r="DO205" s="319"/>
      <c r="DP205" s="153"/>
      <c r="DQ205" s="133"/>
      <c r="DR205" s="133"/>
      <c r="DS205" s="133"/>
      <c r="DT205" s="319"/>
      <c r="DU205" s="307"/>
      <c r="DV205" s="307"/>
      <c r="DW205" s="307"/>
      <c r="DX205" s="307"/>
      <c r="DY205" s="319"/>
      <c r="DZ205" s="307"/>
      <c r="EA205" s="307"/>
      <c r="EB205" s="307"/>
      <c r="EC205" s="307"/>
      <c r="ED205" s="307"/>
      <c r="EE205" s="307"/>
      <c r="EF205" s="307"/>
      <c r="EG205" s="307"/>
      <c r="EH205" s="307"/>
      <c r="EI205" s="313"/>
      <c r="EJ205" s="307"/>
      <c r="EK205" s="307"/>
      <c r="EL205" s="307"/>
      <c r="EM205" s="307"/>
      <c r="EN205" s="313"/>
      <c r="EO205" s="307"/>
      <c r="EP205" s="307"/>
      <c r="EQ205" s="307"/>
      <c r="ER205" s="307"/>
      <c r="ES205" s="313"/>
      <c r="ET205" s="307"/>
      <c r="EU205" s="307"/>
      <c r="EV205" s="307"/>
      <c r="EW205" s="307"/>
      <c r="FB205" s="132">
        <v>1</v>
      </c>
      <c r="FC205" s="261">
        <v>3</v>
      </c>
      <c r="FD205" s="132">
        <v>0</v>
      </c>
      <c r="FE205" s="132">
        <v>18</v>
      </c>
      <c r="FF205" s="132">
        <v>0</v>
      </c>
      <c r="FG205" s="315" t="str">
        <f>IF(FF205=0,"-",FC205/FF205)</f>
        <v>-</v>
      </c>
      <c r="FH205" s="315">
        <f>IF(FC205=0,"-",FE205/FC205)</f>
        <v>6</v>
      </c>
      <c r="FI205" s="317" t="str">
        <f>IF(FF205=0,"-",FE205/FF205)</f>
        <v>-</v>
      </c>
      <c r="FJ205" s="119"/>
      <c r="FK205" s="271">
        <v>2</v>
      </c>
      <c r="FL205" s="310"/>
      <c r="FM205" s="310"/>
      <c r="FN205" s="310"/>
      <c r="FO205" s="310"/>
      <c r="FP205" s="310"/>
      <c r="FQ205" s="310"/>
      <c r="FR205" s="310"/>
      <c r="FS205" s="310"/>
      <c r="FT205" s="310"/>
      <c r="FU205" s="126"/>
      <c r="FV205" s="126"/>
      <c r="FW205" s="126"/>
      <c r="FX205" s="126"/>
      <c r="FY205" s="126"/>
      <c r="FZ205" s="126"/>
      <c r="GA205" s="126"/>
      <c r="GB205" s="126"/>
      <c r="GC205" s="126"/>
      <c r="GD205" s="126"/>
    </row>
  </sheetData>
  <sortState xmlns:xlrd2="http://schemas.microsoft.com/office/spreadsheetml/2017/richdata2" ref="A5:AVU9">
    <sortCondition ref="L5:L9"/>
  </sortState>
  <mergeCells count="26">
    <mergeCell ref="U178:W178"/>
    <mergeCell ref="FB178:FI178"/>
    <mergeCell ref="FB3:FI3"/>
    <mergeCell ref="B82:U82"/>
    <mergeCell ref="B83:U83"/>
    <mergeCell ref="B84:U84"/>
    <mergeCell ref="B85:U85"/>
    <mergeCell ref="B95:U95"/>
    <mergeCell ref="B79:V79"/>
    <mergeCell ref="B80:V80"/>
    <mergeCell ref="B92:U92"/>
    <mergeCell ref="B94:U94"/>
    <mergeCell ref="B69:M69"/>
    <mergeCell ref="B70:M70"/>
    <mergeCell ref="B71:M71"/>
    <mergeCell ref="B76:V76"/>
    <mergeCell ref="FB12:FI12"/>
    <mergeCell ref="W11:W12"/>
    <mergeCell ref="W2:W3"/>
    <mergeCell ref="U177:W177"/>
    <mergeCell ref="B86:U86"/>
    <mergeCell ref="B88:U88"/>
    <mergeCell ref="B89:U89"/>
    <mergeCell ref="B90:U90"/>
    <mergeCell ref="B96:U96"/>
    <mergeCell ref="B91:U91"/>
  </mergeCells>
  <phoneticPr fontId="9" type="noConversion"/>
  <conditionalFormatting sqref="S202:S205">
    <cfRule type="expression" dxfId="68" priority="69" stopIfTrue="1">
      <formula>D202&lt;5</formula>
    </cfRule>
  </conditionalFormatting>
  <conditionalFormatting sqref="FI180:FI194">
    <cfRule type="expression" dxfId="67" priority="70" stopIfTrue="1">
      <formula>OR(FC180&lt;30,FB180&lt;5)</formula>
    </cfRule>
  </conditionalFormatting>
  <conditionalFormatting sqref="L180:L201 L17:L18 FI17:FI18 FI14:FI15 L14:L15 L35:L36 FI35:FI36 L5:L9 FI5:FI9 L20:L23 FI20:FI23 FI25 L25">
    <cfRule type="expression" dxfId="66" priority="75" stopIfTrue="1">
      <formula>OR(F5&lt;30,D5&lt;5)</formula>
    </cfRule>
  </conditionalFormatting>
  <conditionalFormatting sqref="W180:W205 W17:W18 W14:W15 W35:W36 W5:W9 W20:W23 W25">
    <cfRule type="expression" dxfId="65" priority="76" stopIfTrue="1">
      <formula>OR(#REF!+F5&lt;30,#REF!+D5&lt;5)</formula>
    </cfRule>
  </conditionalFormatting>
  <conditionalFormatting sqref="V17:V18 V14:V15 V35:V36 V5:V9 V20:V23 V25">
    <cfRule type="expression" dxfId="64" priority="81" stopIfTrue="1">
      <formula>OR(#REF!+F5&lt;30,#REF!+D5&lt;5)</formula>
    </cfRule>
  </conditionalFormatting>
  <conditionalFormatting sqref="U17:U18 U14:U15 U35:U36 U5:U9 U20:U23 U25">
    <cfRule type="expression" dxfId="63" priority="85" stopIfTrue="1">
      <formula>OR(#REF!+F5&lt;30,#REF!+D5&lt;5)</formula>
    </cfRule>
  </conditionalFormatting>
  <conditionalFormatting sqref="FI16 L16">
    <cfRule type="expression" dxfId="62" priority="49" stopIfTrue="1">
      <formula>OR(F16&lt;30,D16&lt;5)</formula>
    </cfRule>
  </conditionalFormatting>
  <conditionalFormatting sqref="W16">
    <cfRule type="expression" dxfId="61" priority="50" stopIfTrue="1">
      <formula>OR(#REF!+F16&lt;30,#REF!+D16&lt;5)</formula>
    </cfRule>
  </conditionalFormatting>
  <conditionalFormatting sqref="V16">
    <cfRule type="expression" dxfId="60" priority="51" stopIfTrue="1">
      <formula>OR(#REF!+F16&lt;30,#REF!+D16&lt;5)</formula>
    </cfRule>
  </conditionalFormatting>
  <conditionalFormatting sqref="U16">
    <cfRule type="expression" dxfId="59" priority="52" stopIfTrue="1">
      <formula>OR(#REF!+F16&lt;30,#REF!+D16&lt;5)</formula>
    </cfRule>
  </conditionalFormatting>
  <conditionalFormatting sqref="L19 FI19">
    <cfRule type="expression" dxfId="58" priority="45" stopIfTrue="1">
      <formula>OR(F19&lt;30,D19&lt;5)</formula>
    </cfRule>
  </conditionalFormatting>
  <conditionalFormatting sqref="W19">
    <cfRule type="expression" dxfId="57" priority="46" stopIfTrue="1">
      <formula>OR(#REF!+F19&lt;30,#REF!+D19&lt;5)</formula>
    </cfRule>
  </conditionalFormatting>
  <conditionalFormatting sqref="V19">
    <cfRule type="expression" dxfId="56" priority="47" stopIfTrue="1">
      <formula>OR(#REF!+F19&lt;30,#REF!+D19&lt;5)</formula>
    </cfRule>
  </conditionalFormatting>
  <conditionalFormatting sqref="U19">
    <cfRule type="expression" dxfId="55" priority="48" stopIfTrue="1">
      <formula>OR(#REF!+F19&lt;30,#REF!+D19&lt;5)</formula>
    </cfRule>
  </conditionalFormatting>
  <conditionalFormatting sqref="FI29 L29">
    <cfRule type="expression" dxfId="54" priority="41" stopIfTrue="1">
      <formula>OR(F29&lt;30,D29&lt;5)</formula>
    </cfRule>
  </conditionalFormatting>
  <conditionalFormatting sqref="W29">
    <cfRule type="expression" dxfId="53" priority="42" stopIfTrue="1">
      <formula>OR(#REF!+F29&lt;30,#REF!+D29&lt;5)</formula>
    </cfRule>
  </conditionalFormatting>
  <conditionalFormatting sqref="V29">
    <cfRule type="expression" dxfId="52" priority="43" stopIfTrue="1">
      <formula>OR(#REF!+F29&lt;30,#REF!+D29&lt;5)</formula>
    </cfRule>
  </conditionalFormatting>
  <conditionalFormatting sqref="U29">
    <cfRule type="expression" dxfId="51" priority="44" stopIfTrue="1">
      <formula>OR(#REF!+F29&lt;30,#REF!+D29&lt;5)</formula>
    </cfRule>
  </conditionalFormatting>
  <conditionalFormatting sqref="FI30 L30">
    <cfRule type="expression" dxfId="50" priority="37" stopIfTrue="1">
      <formula>OR(F30&lt;30,D30&lt;5)</formula>
    </cfRule>
  </conditionalFormatting>
  <conditionalFormatting sqref="W30">
    <cfRule type="expression" dxfId="49" priority="38" stopIfTrue="1">
      <formula>OR(#REF!+F30&lt;30,#REF!+D30&lt;5)</formula>
    </cfRule>
  </conditionalFormatting>
  <conditionalFormatting sqref="V30">
    <cfRule type="expression" dxfId="48" priority="39" stopIfTrue="1">
      <formula>OR(#REF!+F30&lt;30,#REF!+D30&lt;5)</formula>
    </cfRule>
  </conditionalFormatting>
  <conditionalFormatting sqref="U30">
    <cfRule type="expression" dxfId="47" priority="40" stopIfTrue="1">
      <formula>OR(#REF!+F30&lt;30,#REF!+D30&lt;5)</formula>
    </cfRule>
  </conditionalFormatting>
  <conditionalFormatting sqref="FI34 L34">
    <cfRule type="expression" dxfId="46" priority="33" stopIfTrue="1">
      <formula>OR(F34&lt;30,D34&lt;5)</formula>
    </cfRule>
  </conditionalFormatting>
  <conditionalFormatting sqref="W34">
    <cfRule type="expression" dxfId="45" priority="34" stopIfTrue="1">
      <formula>OR(#REF!+F34&lt;30,#REF!+D34&lt;5)</formula>
    </cfRule>
  </conditionalFormatting>
  <conditionalFormatting sqref="V34">
    <cfRule type="expression" dxfId="44" priority="35" stopIfTrue="1">
      <formula>OR(#REF!+F34&lt;30,#REF!+D34&lt;5)</formula>
    </cfRule>
  </conditionalFormatting>
  <conditionalFormatting sqref="U34">
    <cfRule type="expression" dxfId="43" priority="36" stopIfTrue="1">
      <formula>OR(#REF!+F34&lt;30,#REF!+D34&lt;5)</formula>
    </cfRule>
  </conditionalFormatting>
  <conditionalFormatting sqref="FI33 L33">
    <cfRule type="expression" dxfId="42" priority="29" stopIfTrue="1">
      <formula>OR(F33&lt;30,D33&lt;5)</formula>
    </cfRule>
  </conditionalFormatting>
  <conditionalFormatting sqref="W33">
    <cfRule type="expression" dxfId="41" priority="30" stopIfTrue="1">
      <formula>OR(#REF!+F33&lt;30,#REF!+D33&lt;5)</formula>
    </cfRule>
  </conditionalFormatting>
  <conditionalFormatting sqref="V33">
    <cfRule type="expression" dxfId="40" priority="31" stopIfTrue="1">
      <formula>OR(#REF!+F33&lt;30,#REF!+D33&lt;5)</formula>
    </cfRule>
  </conditionalFormatting>
  <conditionalFormatting sqref="U33">
    <cfRule type="expression" dxfId="39" priority="32" stopIfTrue="1">
      <formula>OR(#REF!+F33&lt;30,#REF!+D33&lt;5)</formula>
    </cfRule>
  </conditionalFormatting>
  <conditionalFormatting sqref="FI31 L31">
    <cfRule type="expression" dxfId="38" priority="21" stopIfTrue="1">
      <formula>OR(F31&lt;30,D31&lt;5)</formula>
    </cfRule>
  </conditionalFormatting>
  <conditionalFormatting sqref="W31">
    <cfRule type="expression" dxfId="37" priority="22" stopIfTrue="1">
      <formula>OR(#REF!+F31&lt;30,#REF!+D31&lt;5)</formula>
    </cfRule>
  </conditionalFormatting>
  <conditionalFormatting sqref="V31">
    <cfRule type="expression" dxfId="36" priority="23" stopIfTrue="1">
      <formula>OR(#REF!+F31&lt;30,#REF!+D31&lt;5)</formula>
    </cfRule>
  </conditionalFormatting>
  <conditionalFormatting sqref="U31">
    <cfRule type="expression" dxfId="35" priority="24" stopIfTrue="1">
      <formula>OR(#REF!+F31&lt;30,#REF!+D31&lt;5)</formula>
    </cfRule>
  </conditionalFormatting>
  <conditionalFormatting sqref="L27 FI27">
    <cfRule type="expression" dxfId="34" priority="17" stopIfTrue="1">
      <formula>OR(F27&lt;30,D27&lt;5)</formula>
    </cfRule>
  </conditionalFormatting>
  <conditionalFormatting sqref="W27">
    <cfRule type="expression" dxfId="33" priority="18" stopIfTrue="1">
      <formula>OR(#REF!+F27&lt;30,#REF!+D27&lt;5)</formula>
    </cfRule>
  </conditionalFormatting>
  <conditionalFormatting sqref="V27">
    <cfRule type="expression" dxfId="32" priority="19" stopIfTrue="1">
      <formula>OR(#REF!+F27&lt;30,#REF!+D27&lt;5)</formula>
    </cfRule>
  </conditionalFormatting>
  <conditionalFormatting sqref="U27">
    <cfRule type="expression" dxfId="31" priority="20" stopIfTrue="1">
      <formula>OR(#REF!+F27&lt;30,#REF!+D27&lt;5)</formula>
    </cfRule>
  </conditionalFormatting>
  <conditionalFormatting sqref="FI32 L32">
    <cfRule type="expression" dxfId="30" priority="13" stopIfTrue="1">
      <formula>OR(F32&lt;30,D32&lt;5)</formula>
    </cfRule>
  </conditionalFormatting>
  <conditionalFormatting sqref="W32">
    <cfRule type="expression" dxfId="29" priority="14" stopIfTrue="1">
      <formula>OR(#REF!+F32&lt;30,#REF!+D32&lt;5)</formula>
    </cfRule>
  </conditionalFormatting>
  <conditionalFormatting sqref="V32">
    <cfRule type="expression" dxfId="28" priority="15" stopIfTrue="1">
      <formula>OR(#REF!+F32&lt;30,#REF!+D32&lt;5)</formula>
    </cfRule>
  </conditionalFormatting>
  <conditionalFormatting sqref="U32">
    <cfRule type="expression" dxfId="27" priority="16" stopIfTrue="1">
      <formula>OR(#REF!+F32&lt;30,#REF!+D32&lt;5)</formula>
    </cfRule>
  </conditionalFormatting>
  <conditionalFormatting sqref="FI24 L24">
    <cfRule type="expression" dxfId="26" priority="9" stopIfTrue="1">
      <formula>OR(F24&lt;30,D24&lt;5)</formula>
    </cfRule>
  </conditionalFormatting>
  <conditionalFormatting sqref="W24">
    <cfRule type="expression" dxfId="25" priority="10" stopIfTrue="1">
      <formula>OR(#REF!+F24&lt;30,#REF!+D24&lt;5)</formula>
    </cfRule>
  </conditionalFormatting>
  <conditionalFormatting sqref="V24">
    <cfRule type="expression" dxfId="24" priority="11" stopIfTrue="1">
      <formula>OR(#REF!+F24&lt;30,#REF!+D24&lt;5)</formula>
    </cfRule>
  </conditionalFormatting>
  <conditionalFormatting sqref="U24">
    <cfRule type="expression" dxfId="23" priority="12" stopIfTrue="1">
      <formula>OR(#REF!+F24&lt;30,#REF!+D24&lt;5)</formula>
    </cfRule>
  </conditionalFormatting>
  <conditionalFormatting sqref="L26 FI26">
    <cfRule type="expression" dxfId="22" priority="5" stopIfTrue="1">
      <formula>OR(F26&lt;30,D26&lt;5)</formula>
    </cfRule>
  </conditionalFormatting>
  <conditionalFormatting sqref="W26">
    <cfRule type="expression" dxfId="21" priority="6" stopIfTrue="1">
      <formula>OR(#REF!+F26&lt;30,#REF!+D26&lt;5)</formula>
    </cfRule>
  </conditionalFormatting>
  <conditionalFormatting sqref="V26">
    <cfRule type="expression" dxfId="20" priority="7" stopIfTrue="1">
      <formula>OR(#REF!+F26&lt;30,#REF!+D26&lt;5)</formula>
    </cfRule>
  </conditionalFormatting>
  <conditionalFormatting sqref="U26">
    <cfRule type="expression" dxfId="19" priority="8" stopIfTrue="1">
      <formula>OR(#REF!+F26&lt;30,#REF!+D26&lt;5)</formula>
    </cfRule>
  </conditionalFormatting>
  <conditionalFormatting sqref="L28 FI28">
    <cfRule type="expression" dxfId="18" priority="1" stopIfTrue="1">
      <formula>OR(F28&lt;30,D28&lt;5)</formula>
    </cfRule>
  </conditionalFormatting>
  <conditionalFormatting sqref="W28">
    <cfRule type="expression" dxfId="17" priority="2" stopIfTrue="1">
      <formula>OR(#REF!+F28&lt;30,#REF!+D28&lt;5)</formula>
    </cfRule>
  </conditionalFormatting>
  <conditionalFormatting sqref="V28">
    <cfRule type="expression" dxfId="16" priority="3" stopIfTrue="1">
      <formula>OR(#REF!+F28&lt;30,#REF!+D28&lt;5)</formula>
    </cfRule>
  </conditionalFormatting>
  <conditionalFormatting sqref="U28">
    <cfRule type="expression" dxfId="15" priority="4" stopIfTrue="1">
      <formula>OR(#REF!+F28&lt;30,#REF!+D28&lt;5)</formula>
    </cfRule>
  </conditionalFormatting>
  <pageMargins left="0.75" right="0.75" top="1" bottom="1" header="0.5" footer="0.5"/>
  <pageSetup paperSize="9" orientation="portrait" horizontalDpi="4294967293" r:id="rId1"/>
  <headerFooter alignWithMargins="0"/>
  <ignoredErrors>
    <ignoredError sqref="F78:CT95 X1:CT2 F97:CT130 F144:CT160 CN69:CT72 CN74:CT77 F206:CT65570 FU68:HM95 FB1:FI2 EG72:EG77 CZ206:DS65570 FC4:FI4 F69:CM77 FM1:FT2 DY1:EC2 A144:A162 FB144:HM160 DQ1:DS4 ED1:EZ3 EH68:EZ77 EG68:EG70 DP1:DP2 CZ74:DA77 CZ69:CZ72 DA68:DA72 FJ1:FL4 FB208:HM65570 CZ144:DS160 FL68 DB68:DS77 FU1:HM4 DL1:DO4 DP4 A97:A130 CZ97:DS130 B98:B130 V3:V4 CZ1:DK2 U4 U1:W1 F1:R4 T1:T4 S1 FB97:HM130 FL71:FT95 A68:A95 FB68:FK95 CZ78:DS95 B78:B81 X4:CT4 X3:AH3 AJ3:AM3 AO3:AR3 AT3:AW3 AY3:BB3 BD3:BG3 BI3:BL3 BN3:BQ3 BS3:BV3 BX3:CA3 CC3:CF3 CH3:CK3 CM3:CP3 CR3:CT3 CZ4:DK4 CZ3 DB3:DE3 DG3:DJ3 F68:X68 AC68:CM68 B68:D68 A3:D4 B69:D77 A206:D65570 B144:D160 C97:D130 C78:D95 FB206:HM207 B87:B94 A1 C1:D1 A2 C2:D2 DY206:EZ65570 DY144:EZ160 DY68:EF77 DY97:EZ130 DY78:EZ95 ED4 EX4:EZ4" evalError="1" numberStoredAsText="1" formula="1"/>
    <ignoredError sqref="F161:CT184 A163:A193 F131:CT143 CN73:CT73 CN68:CT68 FB131:HM143 F185:CT193 CZ161:DS193 F195:CT205 DY3:EC4 CZ68 CZ73:DA73 EG71 FM68:FT70 B97 FL69:FL70 CZ195:DS205 FM3:FT4 F37:R37 FA97:FA160 FA68:FA95 FA4:FB4 FA1:FA3 FB3:FI3 CZ131:DS143 FA206:FA65570 A37:D37 A195:D205 A131:D143 B161:D193 T37:BB37 DY161:HM184 DY185:HM193 DY195:HM205 DY131:EZ143 DY37:HM37 CZ37:DS37 BL37:CT37" evalError="1" formula="1"/>
    <ignoredError sqref="F194:CT194 F96:CT96 CZ96:DS96 S2:S4 W2:W4 CZ194:DS194 B95:B96 A96 V2 U2:U3 DY10:ED13 CU1:CY2 CU4:CY4 CU3 CW3:CY3 X13:BB13 FC10:FI13 FB10:FB13 S10:V13 W10:W13 FJ10:HM13 A10:D13 C96:D96 A194:D194 CU68:CY65570 F13:R13 M12:R12 DY96:HM96 DY194:HM194 F10:H10 J10:R11 J12:K12 BL11:DS13 BB10:BB11 BL10:DB10 DD10:DS10 X10:AJ11 AL10:AW11 X12:AI12 AL12:BB12 EX10:FA13 CU37:CY37 F12:H12 F11:G11" 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CZ108"/>
  <sheetViews>
    <sheetView zoomScaleNormal="100" workbookViewId="0">
      <pane xSplit="9" ySplit="4" topLeftCell="J5" activePane="bottomRight" state="frozen"/>
      <selection pane="topRight" activeCell="J1" sqref="J1"/>
      <selection pane="bottomLeft" activeCell="A4" sqref="A4"/>
      <selection pane="bottomRight" activeCell="A91" sqref="A91"/>
    </sheetView>
  </sheetViews>
  <sheetFormatPr defaultColWidth="9.140625" defaultRowHeight="12.75" x14ac:dyDescent="0.2"/>
  <cols>
    <col min="1" max="1" width="1.85546875" style="125" customWidth="1"/>
    <col min="2" max="2" width="23.5703125" style="125" customWidth="1"/>
    <col min="3" max="3" width="7.5703125" style="125" bestFit="1" customWidth="1"/>
    <col min="4" max="6" width="3" style="125" customWidth="1"/>
    <col min="7" max="7" width="1" style="125" customWidth="1"/>
    <col min="8" max="8" width="6.42578125" style="125" customWidth="1"/>
    <col min="9" max="9" width="1" style="125" customWidth="1"/>
    <col min="10" max="12" width="3.140625" style="125" customWidth="1"/>
    <col min="13" max="13" width="0.42578125" style="125" customWidth="1"/>
    <col min="14" max="16" width="3.140625" style="125" customWidth="1"/>
    <col min="17" max="17" width="0.42578125" style="125" customWidth="1"/>
    <col min="18" max="20" width="3.140625" style="125" customWidth="1"/>
    <col min="21" max="21" width="0.42578125" style="125" customWidth="1"/>
    <col min="22" max="24" width="3.140625" style="125" customWidth="1"/>
    <col min="25" max="25" width="0.42578125" style="125" customWidth="1"/>
    <col min="26" max="28" width="3.140625" style="125" customWidth="1"/>
    <col min="29" max="29" width="0.42578125" style="125" customWidth="1"/>
    <col min="30" max="32" width="3.140625" style="125" customWidth="1"/>
    <col min="33" max="33" width="0.42578125" style="125" customWidth="1"/>
    <col min="34" max="36" width="3.140625" style="125" customWidth="1"/>
    <col min="37" max="37" width="0.42578125" style="125" customWidth="1"/>
    <col min="38" max="40" width="3.140625" style="125" customWidth="1"/>
    <col min="41" max="41" width="0.42578125" style="125" customWidth="1"/>
    <col min="42" max="44" width="3.140625" style="125" customWidth="1"/>
    <col min="45" max="45" width="0.42578125" style="125" customWidth="1"/>
    <col min="46" max="48" width="3.140625" style="125" customWidth="1"/>
    <col min="49" max="49" width="0.42578125" style="125" customWidth="1"/>
    <col min="50" max="52" width="3.140625" style="125" customWidth="1"/>
    <col min="53" max="53" width="0.42578125" style="125" customWidth="1"/>
    <col min="54" max="56" width="3.140625" style="125" customWidth="1"/>
    <col min="57" max="57" width="0.42578125" style="125" customWidth="1"/>
    <col min="58" max="60" width="3.140625" style="125" customWidth="1"/>
    <col min="61" max="61" width="0.42578125" style="125" customWidth="1"/>
    <col min="62" max="64" width="3.140625" style="125" customWidth="1"/>
    <col min="65" max="65" width="0.42578125" style="125" customWidth="1"/>
    <col min="66" max="68" width="3.140625" style="125" customWidth="1"/>
    <col min="69" max="69" width="0.42578125" style="125" customWidth="1"/>
    <col min="70" max="72" width="3.140625" style="125" customWidth="1"/>
    <col min="73" max="73" width="0.42578125" style="125" customWidth="1"/>
    <col min="74" max="76" width="3.140625" style="125" customWidth="1"/>
    <col min="77" max="77" width="0.42578125" style="125" customWidth="1"/>
    <col min="78" max="80" width="3.140625" style="125" customWidth="1"/>
    <col min="81" max="81" width="0.42578125" style="125" customWidth="1"/>
    <col min="82" max="84" width="3.140625" style="125" customWidth="1"/>
    <col min="85" max="85" width="0.42578125" style="125" customWidth="1"/>
    <col min="86" max="88" width="3.140625" style="125" customWidth="1"/>
    <col min="89" max="89" width="0.42578125" style="125" customWidth="1"/>
    <col min="90" max="92" width="3.140625" style="125" customWidth="1"/>
    <col min="93" max="93" width="1.7109375" style="125" customWidth="1"/>
    <col min="94" max="96" width="3.140625" style="125" customWidth="1"/>
    <col min="97" max="97" width="1.7109375" style="125" customWidth="1"/>
    <col min="98" max="98" width="1" style="125" customWidth="1"/>
    <col min="99" max="99" width="1.7109375" style="125" customWidth="1"/>
    <col min="100" max="16384" width="9.140625" style="125"/>
  </cols>
  <sheetData>
    <row r="2" spans="1:104" ht="13.5" customHeight="1" x14ac:dyDescent="0.2">
      <c r="A2" s="126"/>
      <c r="B2" s="126"/>
      <c r="C2" s="126"/>
      <c r="D2" s="126"/>
      <c r="E2" s="126"/>
      <c r="F2" s="126"/>
      <c r="G2" s="126"/>
      <c r="H2" s="179" t="s">
        <v>17</v>
      </c>
      <c r="I2" s="126"/>
      <c r="J2" s="126"/>
      <c r="K2" s="126"/>
      <c r="L2" s="126"/>
      <c r="M2" s="126"/>
      <c r="N2" s="126"/>
      <c r="O2" s="126"/>
      <c r="P2" s="126"/>
      <c r="Q2" s="126"/>
      <c r="R2" s="126"/>
      <c r="S2" s="126"/>
      <c r="T2" s="126"/>
      <c r="U2" s="126"/>
      <c r="V2" s="126"/>
      <c r="W2" s="126"/>
      <c r="X2" s="126"/>
      <c r="Y2" s="126"/>
      <c r="Z2" s="126"/>
      <c r="AA2" s="126"/>
      <c r="AB2" s="126"/>
      <c r="AC2" s="126"/>
      <c r="AD2" s="126"/>
      <c r="AE2" s="126"/>
      <c r="AF2" s="126"/>
      <c r="AG2" s="126"/>
      <c r="AH2" s="126"/>
      <c r="AI2" s="126"/>
      <c r="AJ2" s="126"/>
      <c r="AK2" s="126"/>
      <c r="AL2" s="126"/>
      <c r="AM2" s="126"/>
      <c r="AN2" s="126"/>
      <c r="AO2" s="126"/>
      <c r="AP2" s="126"/>
      <c r="AQ2" s="126"/>
      <c r="AR2" s="126"/>
      <c r="AS2" s="126"/>
      <c r="AT2" s="126"/>
      <c r="AU2" s="126"/>
      <c r="AV2" s="126"/>
      <c r="AW2" s="126"/>
      <c r="AX2" s="126"/>
      <c r="AY2" s="126"/>
      <c r="AZ2" s="126"/>
      <c r="BA2" s="126"/>
      <c r="BB2" s="126"/>
      <c r="BC2" s="126"/>
      <c r="BD2" s="126"/>
      <c r="BE2" s="126"/>
      <c r="BF2" s="126"/>
      <c r="BG2" s="126"/>
      <c r="BH2" s="126"/>
      <c r="BI2" s="126"/>
      <c r="BJ2" s="126"/>
      <c r="BK2" s="126"/>
      <c r="BL2" s="126"/>
      <c r="BM2" s="126"/>
      <c r="BN2" s="126"/>
      <c r="BO2" s="126"/>
      <c r="BP2" s="126"/>
      <c r="BQ2" s="126"/>
      <c r="BR2" s="126"/>
      <c r="BS2" s="126"/>
      <c r="BT2" s="126"/>
      <c r="BU2" s="126"/>
      <c r="BV2" s="126"/>
      <c r="BW2" s="126"/>
      <c r="BX2" s="126"/>
      <c r="BY2" s="126"/>
      <c r="BZ2" s="126"/>
      <c r="CA2" s="126"/>
      <c r="CB2" s="126"/>
      <c r="CC2" s="126"/>
      <c r="CD2" s="126"/>
      <c r="CE2" s="126"/>
      <c r="CF2" s="126"/>
      <c r="CG2" s="126"/>
      <c r="CH2" s="126"/>
      <c r="CI2" s="126"/>
      <c r="CJ2" s="126"/>
      <c r="CK2" s="126"/>
      <c r="CO2" s="420"/>
      <c r="CS2" s="149"/>
      <c r="CT2" s="149"/>
      <c r="CU2" s="149"/>
      <c r="CV2" s="149"/>
      <c r="CW2" s="149"/>
      <c r="CX2" s="149"/>
      <c r="CY2" s="149"/>
    </row>
    <row r="3" spans="1:104" ht="13.5" customHeight="1" x14ac:dyDescent="0.2">
      <c r="A3" s="126"/>
      <c r="B3" s="122"/>
      <c r="C3" s="122"/>
      <c r="D3" s="122"/>
      <c r="E3" s="122"/>
      <c r="F3" s="122"/>
      <c r="G3" s="122"/>
      <c r="H3" s="235" t="s">
        <v>28</v>
      </c>
      <c r="I3" s="122"/>
      <c r="J3" s="184" t="str">
        <f>Fixtures!C3</f>
        <v>Highgate</v>
      </c>
      <c r="K3" s="182"/>
      <c r="L3" s="190"/>
      <c r="M3" s="122"/>
      <c r="N3" s="184" t="str">
        <f>Fixtures!C4</f>
        <v>Harrow St. Mary's</v>
      </c>
      <c r="O3" s="182"/>
      <c r="P3" s="190"/>
      <c r="Q3" s="122"/>
      <c r="R3" s="184" t="str">
        <f>Fixtures!C5</f>
        <v>Ickenham</v>
      </c>
      <c r="S3" s="182"/>
      <c r="T3" s="190"/>
      <c r="U3" s="122"/>
      <c r="V3" s="184" t="str">
        <f>Fixtures!C6</f>
        <v>Northwood</v>
      </c>
      <c r="W3" s="182"/>
      <c r="X3" s="190"/>
      <c r="Y3" s="122"/>
      <c r="Z3" s="184" t="str">
        <f>Fixtures!C7</f>
        <v>Kew</v>
      </c>
      <c r="AA3" s="182"/>
      <c r="AB3" s="190"/>
      <c r="AC3" s="122"/>
      <c r="AD3" s="184" t="str">
        <f>Fixtures!C8</f>
        <v>Barnes</v>
      </c>
      <c r="AE3" s="182"/>
      <c r="AF3" s="190"/>
      <c r="AG3" s="122"/>
      <c r="AH3" s="184" t="str">
        <f>Fixtures!C9</f>
        <v>Putney</v>
      </c>
      <c r="AI3" s="182"/>
      <c r="AJ3" s="190"/>
      <c r="AK3" s="122" t="s">
        <v>19</v>
      </c>
      <c r="AL3" s="184" t="str">
        <f>Fixtures!C10</f>
        <v>Chingford</v>
      </c>
      <c r="AM3" s="182"/>
      <c r="AN3" s="190"/>
      <c r="AO3" s="122"/>
      <c r="AP3" s="184" t="str">
        <f>Fixtures!C11</f>
        <v>North Enfield</v>
      </c>
      <c r="AQ3" s="182"/>
      <c r="AR3" s="190"/>
      <c r="AS3" s="122"/>
      <c r="AT3" s="184" t="str">
        <f>Fixtures!C12</f>
        <v>Shepperton</v>
      </c>
      <c r="AU3" s="182"/>
      <c r="AV3" s="190"/>
      <c r="AW3" s="122" t="s">
        <v>19</v>
      </c>
      <c r="AX3" s="184" t="str">
        <f>Fixtures!C13</f>
        <v>Royal Household</v>
      </c>
      <c r="AY3" s="182"/>
      <c r="AZ3" s="190"/>
      <c r="BA3" s="122"/>
      <c r="BB3" s="184" t="str">
        <f>Fixtures!C14</f>
        <v>Crouch End</v>
      </c>
      <c r="BC3" s="182"/>
      <c r="BD3" s="190"/>
      <c r="BE3" s="122"/>
      <c r="BF3" s="184" t="str">
        <f>Fixtures!C15</f>
        <v>Holtwhites Trinibis</v>
      </c>
      <c r="BG3" s="182"/>
      <c r="BH3" s="190"/>
      <c r="BI3" s="122"/>
      <c r="BJ3" s="184" t="str">
        <f>Fixtures!C16</f>
        <v>Teddington</v>
      </c>
      <c r="BK3" s="182"/>
      <c r="BL3" s="190"/>
      <c r="BM3" s="122"/>
      <c r="BN3" s="184" t="str">
        <f>Fixtures!C17</f>
        <v>Old Wimbledonians</v>
      </c>
      <c r="BO3" s="182"/>
      <c r="BP3" s="190"/>
      <c r="BQ3" s="122"/>
      <c r="BR3" s="184" t="str">
        <f>Fixtures!C18</f>
        <v>Shepherd's Bush</v>
      </c>
      <c r="BS3" s="182"/>
      <c r="BT3" s="190"/>
      <c r="BU3" s="122"/>
      <c r="BV3" s="184" t="str">
        <f>Fixtures!C19</f>
        <v>Missenden Misfits</v>
      </c>
      <c r="BW3" s="182"/>
      <c r="BX3" s="190"/>
      <c r="BY3" s="122" t="s">
        <v>19</v>
      </c>
      <c r="BZ3" s="184" t="str">
        <f>Fixtures!C20</f>
        <v>Post Modernists</v>
      </c>
      <c r="CA3" s="182"/>
      <c r="CB3" s="190"/>
      <c r="CC3" s="122" t="s">
        <v>19</v>
      </c>
      <c r="CD3" s="184" t="str">
        <f>Fixtures!C21</f>
        <v>Nevill Holt</v>
      </c>
      <c r="CE3" s="182"/>
      <c r="CF3" s="190"/>
      <c r="CG3" s="122" t="s">
        <v>19</v>
      </c>
      <c r="CH3" s="184" t="str">
        <f>Fixtures!C22</f>
        <v>Wembley</v>
      </c>
      <c r="CI3" s="182"/>
      <c r="CJ3" s="190"/>
      <c r="CK3" s="122" t="s">
        <v>19</v>
      </c>
      <c r="CL3" s="346"/>
      <c r="CM3" s="347"/>
      <c r="CN3" s="347"/>
      <c r="CO3" s="348" t="s">
        <v>19</v>
      </c>
      <c r="CP3" s="346"/>
      <c r="CQ3" s="347"/>
      <c r="CR3" s="347"/>
      <c r="CS3" s="348"/>
      <c r="CT3" s="129"/>
      <c r="CU3" s="129"/>
      <c r="CV3" s="129"/>
      <c r="CW3" s="129"/>
      <c r="CX3" s="129"/>
      <c r="CY3" s="149"/>
    </row>
    <row r="4" spans="1:104" ht="13.5" customHeight="1" x14ac:dyDescent="0.2">
      <c r="A4" s="126"/>
      <c r="B4" s="181" t="s">
        <v>93</v>
      </c>
      <c r="C4" s="182"/>
      <c r="D4" s="183" t="s">
        <v>94</v>
      </c>
      <c r="E4" s="183" t="s">
        <v>95</v>
      </c>
      <c r="F4" s="183" t="s">
        <v>96</v>
      </c>
      <c r="G4" s="129"/>
      <c r="H4" s="180" t="s">
        <v>110</v>
      </c>
      <c r="I4" s="122"/>
      <c r="J4" s="183" t="s">
        <v>94</v>
      </c>
      <c r="K4" s="183" t="s">
        <v>95</v>
      </c>
      <c r="L4" s="183" t="s">
        <v>96</v>
      </c>
      <c r="M4" s="122"/>
      <c r="N4" s="183" t="s">
        <v>94</v>
      </c>
      <c r="O4" s="183" t="s">
        <v>95</v>
      </c>
      <c r="P4" s="183" t="s">
        <v>96</v>
      </c>
      <c r="Q4" s="122"/>
      <c r="R4" s="183" t="s">
        <v>94</v>
      </c>
      <c r="S4" s="183" t="s">
        <v>95</v>
      </c>
      <c r="T4" s="183" t="s">
        <v>96</v>
      </c>
      <c r="U4" s="122"/>
      <c r="V4" s="183" t="s">
        <v>94</v>
      </c>
      <c r="W4" s="183" t="s">
        <v>95</v>
      </c>
      <c r="X4" s="183" t="s">
        <v>96</v>
      </c>
      <c r="Y4" s="122"/>
      <c r="Z4" s="183" t="s">
        <v>94</v>
      </c>
      <c r="AA4" s="183" t="s">
        <v>95</v>
      </c>
      <c r="AB4" s="183" t="s">
        <v>96</v>
      </c>
      <c r="AC4" s="122"/>
      <c r="AD4" s="183" t="s">
        <v>94</v>
      </c>
      <c r="AE4" s="183" t="s">
        <v>95</v>
      </c>
      <c r="AF4" s="183" t="s">
        <v>96</v>
      </c>
      <c r="AG4" s="122"/>
      <c r="AH4" s="183" t="s">
        <v>94</v>
      </c>
      <c r="AI4" s="183" t="s">
        <v>95</v>
      </c>
      <c r="AJ4" s="183" t="s">
        <v>96</v>
      </c>
      <c r="AK4" s="122"/>
      <c r="AL4" s="183" t="s">
        <v>94</v>
      </c>
      <c r="AM4" s="183" t="s">
        <v>95</v>
      </c>
      <c r="AN4" s="183" t="s">
        <v>96</v>
      </c>
      <c r="AO4" s="122"/>
      <c r="AP4" s="183" t="s">
        <v>94</v>
      </c>
      <c r="AQ4" s="183" t="s">
        <v>95</v>
      </c>
      <c r="AR4" s="183" t="s">
        <v>96</v>
      </c>
      <c r="AS4" s="122"/>
      <c r="AT4" s="183" t="s">
        <v>94</v>
      </c>
      <c r="AU4" s="183" t="s">
        <v>95</v>
      </c>
      <c r="AV4" s="183" t="s">
        <v>96</v>
      </c>
      <c r="AW4" s="122"/>
      <c r="AX4" s="183" t="s">
        <v>94</v>
      </c>
      <c r="AY4" s="183" t="s">
        <v>95</v>
      </c>
      <c r="AZ4" s="183" t="s">
        <v>96</v>
      </c>
      <c r="BA4" s="122"/>
      <c r="BB4" s="183" t="s">
        <v>94</v>
      </c>
      <c r="BC4" s="183" t="s">
        <v>95</v>
      </c>
      <c r="BD4" s="183" t="s">
        <v>96</v>
      </c>
      <c r="BE4" s="122"/>
      <c r="BF4" s="183" t="s">
        <v>94</v>
      </c>
      <c r="BG4" s="183" t="s">
        <v>95</v>
      </c>
      <c r="BH4" s="183" t="s">
        <v>96</v>
      </c>
      <c r="BI4" s="122"/>
      <c r="BJ4" s="183" t="s">
        <v>94</v>
      </c>
      <c r="BK4" s="183" t="s">
        <v>95</v>
      </c>
      <c r="BL4" s="183" t="s">
        <v>96</v>
      </c>
      <c r="BM4" s="122"/>
      <c r="BN4" s="183" t="s">
        <v>94</v>
      </c>
      <c r="BO4" s="183" t="s">
        <v>95</v>
      </c>
      <c r="BP4" s="183" t="s">
        <v>96</v>
      </c>
      <c r="BQ4" s="122"/>
      <c r="BR4" s="183" t="s">
        <v>94</v>
      </c>
      <c r="BS4" s="183" t="s">
        <v>95</v>
      </c>
      <c r="BT4" s="183" t="s">
        <v>96</v>
      </c>
      <c r="BU4" s="122"/>
      <c r="BV4" s="183" t="s">
        <v>94</v>
      </c>
      <c r="BW4" s="183" t="s">
        <v>95</v>
      </c>
      <c r="BX4" s="183" t="s">
        <v>96</v>
      </c>
      <c r="BY4" s="122"/>
      <c r="BZ4" s="183" t="s">
        <v>94</v>
      </c>
      <c r="CA4" s="183" t="s">
        <v>95</v>
      </c>
      <c r="CB4" s="183" t="s">
        <v>96</v>
      </c>
      <c r="CC4" s="122"/>
      <c r="CD4" s="183" t="s">
        <v>94</v>
      </c>
      <c r="CE4" s="183" t="s">
        <v>95</v>
      </c>
      <c r="CF4" s="183" t="s">
        <v>96</v>
      </c>
      <c r="CG4" s="122"/>
      <c r="CH4" s="183" t="s">
        <v>94</v>
      </c>
      <c r="CI4" s="183" t="s">
        <v>95</v>
      </c>
      <c r="CJ4" s="183" t="s">
        <v>96</v>
      </c>
      <c r="CK4" s="122"/>
      <c r="CL4" s="349"/>
      <c r="CM4" s="349"/>
      <c r="CN4" s="349"/>
      <c r="CO4" s="348"/>
      <c r="CP4" s="349"/>
      <c r="CQ4" s="349"/>
      <c r="CR4" s="349"/>
      <c r="CS4" s="348"/>
      <c r="CT4" s="129"/>
      <c r="CU4" s="129"/>
      <c r="CV4" s="129"/>
      <c r="CW4" s="129"/>
      <c r="CX4" s="129"/>
      <c r="CY4" s="149"/>
    </row>
    <row r="5" spans="1:104" ht="13.5" customHeight="1" x14ac:dyDescent="0.2">
      <c r="A5" s="126"/>
      <c r="B5" s="158" t="s">
        <v>97</v>
      </c>
      <c r="C5" s="356" t="s">
        <v>189</v>
      </c>
      <c r="D5" s="170">
        <f t="shared" ref="D5:D12" si="0">IF(SUM(J5,N5,R5,V5,Z5,AD5,AH5,AL5,AP5,AT5,AX5,BB5,BF5,BJ5,BN5,BR5,BV5,BZ5,CD5,CH5,CL5,CP5)&lt;1,"0",SUM(J5,N5,R5,V5,Z5,AD5,AH5,AL5,AP5,AT5,AX5,BB5,BF5,BJ5,BN5,BR5,BV5,BZ5,CD5,CH5,CL5,CP5))</f>
        <v>7</v>
      </c>
      <c r="E5" s="170">
        <f t="shared" ref="E5:E12" si="1">IF(SUM(K5,O5,S5,W5,AA5,AE5,AI5,AM5,AQ5,AU5,AY5,BC5,BG5,BK5,BO5,BS5,BW5,CA5,CE5,CI5,CM5,CQ5)&lt;1,"0",SUM(K5,O5,S5,W5,AA5,AE5,AI5,AM5,AQ5,AU5,AY5,BC5,BG5,BK5,BO5,BS5,BW5,CA5,CE5,CI5,CM5,CQ5))</f>
        <v>1</v>
      </c>
      <c r="F5" s="170" t="str">
        <f t="shared" ref="F5:F12" si="2">IF(SUM(L5,P5,T5,X5,AB5,AF5,AJ5,AN5,AR5,AV5,AZ5,BD5,BH5,BL5,BP5,BT5,BX5,CB5,CF5,CJ5,CN5,CR5)&lt;0.5,"0",SUM(L5,P5,T5,X5,AB5,AF5,AJ5,AN5,AR5,AV5,AZ5,BD5,BH5,BL5,BP5,BT5,BX5,CB5,CF5,CJ5,CN5,CR5))</f>
        <v>0</v>
      </c>
      <c r="H5" s="174">
        <f>IF(D5="",0,D5*8)+IF(E5="",0,E5*12)+IF(F5="",0,F5*8)</f>
        <v>68</v>
      </c>
      <c r="I5" s="124"/>
      <c r="J5" s="170"/>
      <c r="K5" s="170"/>
      <c r="L5" s="170"/>
      <c r="M5" s="350"/>
      <c r="N5" s="170"/>
      <c r="O5" s="170"/>
      <c r="P5" s="170"/>
      <c r="Q5" s="350"/>
      <c r="R5" s="170"/>
      <c r="S5" s="170"/>
      <c r="T5" s="170"/>
      <c r="U5" s="350"/>
      <c r="V5" s="170"/>
      <c r="W5" s="170">
        <v>1</v>
      </c>
      <c r="X5" s="170"/>
      <c r="Y5" s="350"/>
      <c r="Z5" s="170">
        <v>1</v>
      </c>
      <c r="AA5" s="170"/>
      <c r="AB5" s="170"/>
      <c r="AC5" s="350"/>
      <c r="AD5" s="170"/>
      <c r="AE5" s="170"/>
      <c r="AF5" s="170"/>
      <c r="AG5" s="350"/>
      <c r="AH5" s="170">
        <v>1</v>
      </c>
      <c r="AI5" s="170"/>
      <c r="AJ5" s="170"/>
      <c r="AK5" s="350"/>
      <c r="AL5" s="170"/>
      <c r="AM5" s="170"/>
      <c r="AN5" s="170"/>
      <c r="AO5" s="350"/>
      <c r="AP5" s="170"/>
      <c r="AQ5" s="170"/>
      <c r="AR5" s="170"/>
      <c r="AS5" s="350"/>
      <c r="AT5" s="170"/>
      <c r="AU5" s="170"/>
      <c r="AV5" s="170"/>
      <c r="AW5" s="350"/>
      <c r="AX5" s="170"/>
      <c r="AY5" s="170"/>
      <c r="AZ5" s="170"/>
      <c r="BA5" s="350"/>
      <c r="BB5" s="170">
        <v>1</v>
      </c>
      <c r="BC5" s="170"/>
      <c r="BD5" s="170"/>
      <c r="BE5" s="350"/>
      <c r="BF5" s="170"/>
      <c r="BG5" s="170"/>
      <c r="BH5" s="170"/>
      <c r="BI5" s="350"/>
      <c r="BJ5" s="170">
        <v>1</v>
      </c>
      <c r="BK5" s="170"/>
      <c r="BL5" s="170"/>
      <c r="BM5" s="350"/>
      <c r="BN5" s="170"/>
      <c r="BO5" s="170"/>
      <c r="BP5" s="170"/>
      <c r="BQ5" s="350"/>
      <c r="BR5" s="170"/>
      <c r="BS5" s="170"/>
      <c r="BT5" s="170"/>
      <c r="BU5" s="350"/>
      <c r="BV5" s="170">
        <v>1</v>
      </c>
      <c r="BW5" s="170"/>
      <c r="BX5" s="170"/>
      <c r="BY5" s="350"/>
      <c r="BZ5" s="170">
        <v>1</v>
      </c>
      <c r="CA5" s="170"/>
      <c r="CB5" s="170"/>
      <c r="CC5" s="350"/>
      <c r="CD5" s="170">
        <v>1</v>
      </c>
      <c r="CE5" s="170"/>
      <c r="CF5" s="170"/>
      <c r="CG5" s="350"/>
      <c r="CH5" s="170"/>
      <c r="CI5" s="170"/>
      <c r="CJ5" s="170"/>
      <c r="CK5" s="350"/>
      <c r="CL5" s="345"/>
      <c r="CM5" s="345"/>
      <c r="CN5" s="345"/>
      <c r="CO5" s="351"/>
      <c r="CP5" s="345"/>
      <c r="CQ5" s="345"/>
      <c r="CR5" s="345"/>
      <c r="CS5" s="351"/>
      <c r="CT5" s="351"/>
      <c r="CU5" s="351"/>
      <c r="CV5" s="351"/>
      <c r="CW5" s="129"/>
      <c r="CX5" s="129"/>
      <c r="CY5" s="129"/>
      <c r="CZ5" s="129"/>
    </row>
    <row r="6" spans="1:104" ht="13.5" customHeight="1" x14ac:dyDescent="0.2">
      <c r="A6" s="126"/>
      <c r="B6" s="158" t="s">
        <v>185</v>
      </c>
      <c r="C6" s="356" t="s">
        <v>188</v>
      </c>
      <c r="D6" s="170">
        <f t="shared" si="0"/>
        <v>5</v>
      </c>
      <c r="E6" s="170" t="str">
        <f t="shared" si="1"/>
        <v>0</v>
      </c>
      <c r="F6" s="170" t="str">
        <f t="shared" si="2"/>
        <v>0</v>
      </c>
      <c r="H6" s="174">
        <f t="shared" ref="H6:H12" si="3">IF(D6="",0,D6*8)+IF(E6="",0,E6*12)+IF(F6="",0,F6*8)</f>
        <v>40</v>
      </c>
      <c r="I6" s="124"/>
      <c r="J6" s="170"/>
      <c r="K6" s="170"/>
      <c r="L6" s="170"/>
      <c r="M6" s="350"/>
      <c r="N6" s="170"/>
      <c r="O6" s="170"/>
      <c r="P6" s="170"/>
      <c r="Q6" s="350"/>
      <c r="R6" s="170"/>
      <c r="S6" s="170"/>
      <c r="T6" s="170"/>
      <c r="U6" s="350"/>
      <c r="V6" s="170"/>
      <c r="W6" s="170"/>
      <c r="X6" s="170"/>
      <c r="Y6" s="350"/>
      <c r="Z6" s="170"/>
      <c r="AA6" s="170"/>
      <c r="AB6" s="170"/>
      <c r="AC6" s="350"/>
      <c r="AD6" s="170"/>
      <c r="AE6" s="170"/>
      <c r="AF6" s="170"/>
      <c r="AG6" s="350"/>
      <c r="AH6" s="170"/>
      <c r="AI6" s="170"/>
      <c r="AJ6" s="170"/>
      <c r="AK6" s="350"/>
      <c r="AL6" s="170"/>
      <c r="AM6" s="170"/>
      <c r="AN6" s="170"/>
      <c r="AO6" s="350"/>
      <c r="AP6" s="170">
        <v>1</v>
      </c>
      <c r="AQ6" s="170"/>
      <c r="AR6" s="170"/>
      <c r="AS6" s="350"/>
      <c r="AT6" s="170"/>
      <c r="AU6" s="170"/>
      <c r="AV6" s="170"/>
      <c r="AW6" s="350"/>
      <c r="AX6" s="170"/>
      <c r="AY6" s="170"/>
      <c r="AZ6" s="170"/>
      <c r="BA6" s="350"/>
      <c r="BB6" s="170"/>
      <c r="BC6" s="170"/>
      <c r="BD6" s="170"/>
      <c r="BE6" s="350"/>
      <c r="BF6" s="170"/>
      <c r="BG6" s="170"/>
      <c r="BH6" s="170"/>
      <c r="BI6" s="350"/>
      <c r="BJ6" s="170">
        <v>1</v>
      </c>
      <c r="BK6" s="170"/>
      <c r="BL6" s="170"/>
      <c r="BM6" s="350"/>
      <c r="BN6" s="170"/>
      <c r="BO6" s="170"/>
      <c r="BP6" s="170"/>
      <c r="BQ6" s="350"/>
      <c r="BR6" s="170"/>
      <c r="BS6" s="170"/>
      <c r="BT6" s="170"/>
      <c r="BU6" s="350"/>
      <c r="BV6" s="170">
        <v>2</v>
      </c>
      <c r="BW6" s="170"/>
      <c r="BX6" s="170"/>
      <c r="BY6" s="350"/>
      <c r="BZ6" s="170">
        <v>1</v>
      </c>
      <c r="CA6" s="170"/>
      <c r="CB6" s="170"/>
      <c r="CC6" s="350"/>
      <c r="CD6" s="170"/>
      <c r="CE6" s="170"/>
      <c r="CF6" s="170"/>
      <c r="CG6" s="350"/>
      <c r="CH6" s="170"/>
      <c r="CI6" s="170"/>
      <c r="CJ6" s="170"/>
      <c r="CK6" s="350"/>
      <c r="CL6" s="345"/>
      <c r="CM6" s="345"/>
      <c r="CN6" s="345"/>
      <c r="CO6" s="351"/>
      <c r="CP6" s="345"/>
      <c r="CQ6" s="345"/>
      <c r="CR6" s="345"/>
      <c r="CS6" s="351"/>
      <c r="CT6" s="351"/>
      <c r="CU6" s="351"/>
      <c r="CV6" s="351"/>
      <c r="CW6" s="129"/>
      <c r="CX6" s="129"/>
      <c r="CY6" s="129"/>
      <c r="CZ6" s="129"/>
    </row>
    <row r="7" spans="1:104" ht="13.5" customHeight="1" x14ac:dyDescent="0.2">
      <c r="A7" s="126"/>
      <c r="B7" s="158" t="s">
        <v>167</v>
      </c>
      <c r="C7" s="356" t="s">
        <v>189</v>
      </c>
      <c r="D7" s="170">
        <f>IF(SUM(J7,N7,R7,V7,Z7,AD7,AH7,AL7,AP7,AT7,AX7,BB7,BF7,BJ7,BN7,BR7,BV7,BZ7,CD7,CH7,CL7,CP7)&lt;1,"0",SUM(J7,N7,R7,V7,Z7,AD7,AH7,AL7,AP7,AT7,AX7,BB7,BF7,BJ7,BN7,BR7,BV7,BZ7,CD7,CH7,CL7,CP7))</f>
        <v>4</v>
      </c>
      <c r="E7" s="170" t="str">
        <f>IF(SUM(K7,O7,S7,W7,AA7,AE7,AI7,AM7,AQ7,AU7,AY7,BC7,BG7,BK7,BO7,BS7,BW7,CA7,CE7,CI7,CM7,CQ7)&lt;1,"0",SUM(K7,O7,S7,W7,AA7,AE7,AI7,AM7,AQ7,AU7,AY7,BC7,BG7,BK7,BO7,BS7,BW7,CA7,CE7,CI7,CM7,CQ7))</f>
        <v>0</v>
      </c>
      <c r="F7" s="170">
        <f>IF(SUM(L7,P7,T7,X7,AB7,AF7,AJ7,AN7,AR7,AV7,AZ7,BD7,BH7,BL7,BP7,BT7,BX7,CB7,CF7,CJ7,CN7,CR7)&lt;0.5,"0",SUM(L7,P7,T7,X7,AB7,AF7,AJ7,AN7,AR7,AV7,AZ7,BD7,BH7,BL7,BP7,BT7,BX7,CB7,CF7,CJ7,CN7,CR7))</f>
        <v>1</v>
      </c>
      <c r="H7" s="174">
        <f>IF(D7="",0,D7*8)+IF(E7="",0,E7*12)+IF(F7="",0,F7*8)</f>
        <v>40</v>
      </c>
      <c r="I7" s="124"/>
      <c r="J7" s="170"/>
      <c r="K7" s="170"/>
      <c r="L7" s="170"/>
      <c r="M7" s="350"/>
      <c r="N7" s="170"/>
      <c r="O7" s="170"/>
      <c r="P7" s="170"/>
      <c r="Q7" s="350"/>
      <c r="R7" s="170"/>
      <c r="S7" s="170"/>
      <c r="T7" s="170">
        <v>1</v>
      </c>
      <c r="U7" s="350"/>
      <c r="V7" s="170"/>
      <c r="W7" s="170"/>
      <c r="X7" s="170"/>
      <c r="Y7" s="350"/>
      <c r="Z7" s="170"/>
      <c r="AA7" s="170"/>
      <c r="AB7" s="170"/>
      <c r="AC7" s="350"/>
      <c r="AD7" s="170"/>
      <c r="AE7" s="170"/>
      <c r="AF7" s="170"/>
      <c r="AG7" s="350"/>
      <c r="AH7" s="170"/>
      <c r="AI7" s="170"/>
      <c r="AJ7" s="170"/>
      <c r="AK7" s="350"/>
      <c r="AL7" s="170"/>
      <c r="AM7" s="170"/>
      <c r="AN7" s="170"/>
      <c r="AO7" s="350"/>
      <c r="AP7" s="170"/>
      <c r="AQ7" s="170"/>
      <c r="AR7" s="170"/>
      <c r="AS7" s="350"/>
      <c r="AT7" s="170"/>
      <c r="AU7" s="170"/>
      <c r="AV7" s="170"/>
      <c r="AW7" s="350"/>
      <c r="AX7" s="170"/>
      <c r="AY7" s="170"/>
      <c r="AZ7" s="170"/>
      <c r="BA7" s="350"/>
      <c r="BB7" s="170">
        <v>1</v>
      </c>
      <c r="BC7" s="170"/>
      <c r="BD7" s="170"/>
      <c r="BE7" s="350"/>
      <c r="BF7" s="170"/>
      <c r="BG7" s="170"/>
      <c r="BH7" s="170"/>
      <c r="BI7" s="350"/>
      <c r="BJ7" s="170"/>
      <c r="BK7" s="170"/>
      <c r="BL7" s="170"/>
      <c r="BM7" s="350"/>
      <c r="BN7" s="170"/>
      <c r="BO7" s="170"/>
      <c r="BP7" s="170"/>
      <c r="BQ7" s="350"/>
      <c r="BR7" s="170"/>
      <c r="BS7" s="170"/>
      <c r="BT7" s="170"/>
      <c r="BU7" s="350"/>
      <c r="BV7" s="170">
        <v>2</v>
      </c>
      <c r="BW7" s="170"/>
      <c r="BX7" s="170"/>
      <c r="BY7" s="350"/>
      <c r="BZ7" s="170">
        <v>1</v>
      </c>
      <c r="CA7" s="170"/>
      <c r="CB7" s="170"/>
      <c r="CC7" s="350"/>
      <c r="CD7" s="170"/>
      <c r="CE7" s="170"/>
      <c r="CF7" s="170"/>
      <c r="CG7" s="350"/>
      <c r="CH7" s="170"/>
      <c r="CI7" s="170"/>
      <c r="CJ7" s="170"/>
      <c r="CK7" s="350"/>
      <c r="CL7" s="345"/>
      <c r="CM7" s="345"/>
      <c r="CN7" s="345"/>
      <c r="CO7" s="351"/>
      <c r="CP7" s="345"/>
      <c r="CQ7" s="345"/>
      <c r="CR7" s="345"/>
      <c r="CS7" s="351"/>
      <c r="CT7" s="351"/>
      <c r="CU7" s="351"/>
      <c r="CV7" s="351"/>
      <c r="CW7" s="129"/>
      <c r="CX7" s="129"/>
      <c r="CY7" s="129"/>
      <c r="CZ7" s="129"/>
    </row>
    <row r="8" spans="1:104" ht="13.5" customHeight="1" x14ac:dyDescent="0.2">
      <c r="A8" s="126"/>
      <c r="B8" s="158" t="s">
        <v>42</v>
      </c>
      <c r="C8" s="356" t="s">
        <v>189</v>
      </c>
      <c r="D8" s="170">
        <f t="shared" si="0"/>
        <v>4</v>
      </c>
      <c r="E8" s="170" t="str">
        <f t="shared" si="1"/>
        <v>0</v>
      </c>
      <c r="F8" s="170" t="str">
        <f t="shared" si="2"/>
        <v>0</v>
      </c>
      <c r="H8" s="174">
        <f t="shared" si="3"/>
        <v>32</v>
      </c>
      <c r="I8" s="124"/>
      <c r="J8" s="170"/>
      <c r="K8" s="170"/>
      <c r="L8" s="294"/>
      <c r="M8" s="350"/>
      <c r="N8" s="170"/>
      <c r="O8" s="170"/>
      <c r="P8" s="294"/>
      <c r="Q8" s="350"/>
      <c r="R8" s="170"/>
      <c r="S8" s="170"/>
      <c r="T8" s="294"/>
      <c r="U8" s="350"/>
      <c r="V8" s="170">
        <v>1</v>
      </c>
      <c r="W8" s="170"/>
      <c r="X8" s="294"/>
      <c r="Y8" s="350"/>
      <c r="Z8" s="170"/>
      <c r="AA8" s="170"/>
      <c r="AB8" s="294"/>
      <c r="AC8" s="350"/>
      <c r="AD8" s="170"/>
      <c r="AE8" s="170"/>
      <c r="AF8" s="294"/>
      <c r="AG8" s="350"/>
      <c r="AH8" s="170"/>
      <c r="AI8" s="170"/>
      <c r="AJ8" s="294"/>
      <c r="AK8" s="350"/>
      <c r="AL8" s="170">
        <v>1</v>
      </c>
      <c r="AM8" s="170"/>
      <c r="AN8" s="294"/>
      <c r="AO8" s="350"/>
      <c r="AP8" s="170"/>
      <c r="AQ8" s="170"/>
      <c r="AR8" s="294"/>
      <c r="AS8" s="350"/>
      <c r="AT8" s="170"/>
      <c r="AU8" s="170"/>
      <c r="AV8" s="294"/>
      <c r="AW8" s="350"/>
      <c r="AX8" s="170"/>
      <c r="AY8" s="170"/>
      <c r="AZ8" s="294"/>
      <c r="BA8" s="350"/>
      <c r="BB8" s="170"/>
      <c r="BC8" s="170"/>
      <c r="BD8" s="294"/>
      <c r="BE8" s="350"/>
      <c r="BF8" s="170"/>
      <c r="BG8" s="170"/>
      <c r="BH8" s="294"/>
      <c r="BI8" s="350"/>
      <c r="BJ8" s="170"/>
      <c r="BK8" s="170"/>
      <c r="BL8" s="294"/>
      <c r="BM8" s="350"/>
      <c r="BN8" s="170"/>
      <c r="BO8" s="170"/>
      <c r="BP8" s="294"/>
      <c r="BQ8" s="350"/>
      <c r="BR8" s="170">
        <v>2</v>
      </c>
      <c r="BS8" s="170"/>
      <c r="BT8" s="294"/>
      <c r="BU8" s="350"/>
      <c r="BV8" s="170"/>
      <c r="BW8" s="170"/>
      <c r="BX8" s="294"/>
      <c r="BY8" s="350"/>
      <c r="BZ8" s="170"/>
      <c r="CA8" s="170"/>
      <c r="CB8" s="294"/>
      <c r="CC8" s="350"/>
      <c r="CD8" s="170"/>
      <c r="CE8" s="170"/>
      <c r="CF8" s="294"/>
      <c r="CG8" s="350"/>
      <c r="CH8" s="170"/>
      <c r="CI8" s="170"/>
      <c r="CJ8" s="294"/>
      <c r="CK8" s="350"/>
      <c r="CL8" s="345"/>
      <c r="CM8" s="345"/>
      <c r="CN8" s="345"/>
      <c r="CO8" s="351"/>
      <c r="CP8" s="345"/>
      <c r="CQ8" s="345"/>
      <c r="CR8" s="345"/>
      <c r="CS8" s="351"/>
      <c r="CT8" s="351"/>
      <c r="CU8" s="351"/>
      <c r="CV8" s="351"/>
      <c r="CW8" s="129"/>
      <c r="CX8" s="129"/>
      <c r="CY8" s="129"/>
      <c r="CZ8" s="129"/>
    </row>
    <row r="9" spans="1:104" ht="13.5" customHeight="1" x14ac:dyDescent="0.2">
      <c r="A9" s="126"/>
      <c r="B9" s="158" t="s">
        <v>269</v>
      </c>
      <c r="C9" s="356" t="s">
        <v>222</v>
      </c>
      <c r="D9" s="170">
        <f t="shared" si="0"/>
        <v>3</v>
      </c>
      <c r="E9" s="170" t="str">
        <f t="shared" si="1"/>
        <v>0</v>
      </c>
      <c r="F9" s="170" t="str">
        <f t="shared" si="2"/>
        <v>0</v>
      </c>
      <c r="H9" s="174">
        <f t="shared" si="3"/>
        <v>24</v>
      </c>
      <c r="I9" s="124"/>
      <c r="J9" s="170"/>
      <c r="K9" s="170"/>
      <c r="L9" s="170"/>
      <c r="M9" s="350"/>
      <c r="N9" s="170"/>
      <c r="O9" s="170"/>
      <c r="P9" s="170"/>
      <c r="Q9" s="350"/>
      <c r="R9" s="170"/>
      <c r="S9" s="170"/>
      <c r="T9" s="170"/>
      <c r="U9" s="350"/>
      <c r="V9" s="170"/>
      <c r="W9" s="170"/>
      <c r="X9" s="170"/>
      <c r="Y9" s="350"/>
      <c r="Z9" s="170"/>
      <c r="AA9" s="170"/>
      <c r="AB9" s="170"/>
      <c r="AC9" s="350"/>
      <c r="AD9" s="170"/>
      <c r="AE9" s="170"/>
      <c r="AF9" s="170"/>
      <c r="AG9" s="350"/>
      <c r="AH9" s="170"/>
      <c r="AI9" s="170"/>
      <c r="AJ9" s="170"/>
      <c r="AK9" s="350"/>
      <c r="AL9" s="170"/>
      <c r="AM9" s="170"/>
      <c r="AN9" s="170"/>
      <c r="AO9" s="350"/>
      <c r="AP9" s="170"/>
      <c r="AQ9" s="170"/>
      <c r="AR9" s="170"/>
      <c r="AS9" s="350"/>
      <c r="AT9" s="170">
        <v>2</v>
      </c>
      <c r="AU9" s="170"/>
      <c r="AV9" s="170"/>
      <c r="AW9" s="350"/>
      <c r="AX9" s="170"/>
      <c r="AY9" s="170"/>
      <c r="AZ9" s="170"/>
      <c r="BA9" s="350"/>
      <c r="BB9" s="170"/>
      <c r="BC9" s="170"/>
      <c r="BD9" s="170"/>
      <c r="BE9" s="350"/>
      <c r="BF9" s="170"/>
      <c r="BG9" s="170"/>
      <c r="BH9" s="170"/>
      <c r="BI9" s="350"/>
      <c r="BJ9" s="170"/>
      <c r="BK9" s="170"/>
      <c r="BL9" s="170"/>
      <c r="BM9" s="350"/>
      <c r="BN9" s="170"/>
      <c r="BO9" s="170"/>
      <c r="BP9" s="170"/>
      <c r="BQ9" s="350"/>
      <c r="BR9" s="170"/>
      <c r="BS9" s="170"/>
      <c r="BT9" s="170"/>
      <c r="BU9" s="350"/>
      <c r="BV9" s="170">
        <v>1</v>
      </c>
      <c r="BW9" s="170"/>
      <c r="BX9" s="170"/>
      <c r="BY9" s="350"/>
      <c r="BZ9" s="170"/>
      <c r="CA9" s="170"/>
      <c r="CB9" s="170"/>
      <c r="CC9" s="350"/>
      <c r="CD9" s="170"/>
      <c r="CE9" s="170"/>
      <c r="CF9" s="170"/>
      <c r="CG9" s="350"/>
      <c r="CH9" s="170"/>
      <c r="CI9" s="170"/>
      <c r="CJ9" s="170"/>
      <c r="CK9" s="350"/>
      <c r="CL9" s="345"/>
      <c r="CM9" s="345"/>
      <c r="CN9" s="345"/>
      <c r="CO9" s="351"/>
      <c r="CP9" s="345"/>
      <c r="CQ9" s="345"/>
      <c r="CR9" s="345"/>
      <c r="CS9" s="351"/>
      <c r="CT9" s="351"/>
      <c r="CU9" s="351"/>
      <c r="CV9" s="351"/>
      <c r="CW9" s="129"/>
      <c r="CX9" s="129"/>
      <c r="CY9" s="129"/>
      <c r="CZ9" s="129"/>
    </row>
    <row r="10" spans="1:104" ht="13.5" customHeight="1" x14ac:dyDescent="0.2">
      <c r="A10" s="126"/>
      <c r="B10" s="158" t="s">
        <v>282</v>
      </c>
      <c r="C10" s="159" t="s">
        <v>222</v>
      </c>
      <c r="D10" s="170">
        <f t="shared" si="0"/>
        <v>3</v>
      </c>
      <c r="E10" s="170" t="str">
        <f t="shared" si="1"/>
        <v>0</v>
      </c>
      <c r="F10" s="170" t="str">
        <f t="shared" si="2"/>
        <v>0</v>
      </c>
      <c r="H10" s="174">
        <f t="shared" si="3"/>
        <v>24</v>
      </c>
      <c r="I10" s="124"/>
      <c r="J10" s="170"/>
      <c r="K10" s="170"/>
      <c r="L10" s="170"/>
      <c r="M10" s="350"/>
      <c r="N10" s="170"/>
      <c r="O10" s="170"/>
      <c r="P10" s="170"/>
      <c r="Q10" s="350"/>
      <c r="R10" s="170"/>
      <c r="S10" s="170"/>
      <c r="T10" s="170"/>
      <c r="U10" s="350"/>
      <c r="V10" s="170"/>
      <c r="W10" s="170"/>
      <c r="X10" s="170"/>
      <c r="Y10" s="350"/>
      <c r="Z10" s="170"/>
      <c r="AA10" s="170"/>
      <c r="AB10" s="170"/>
      <c r="AC10" s="350"/>
      <c r="AD10" s="170"/>
      <c r="AE10" s="170"/>
      <c r="AF10" s="170"/>
      <c r="AG10" s="350"/>
      <c r="AH10" s="170"/>
      <c r="AI10" s="170"/>
      <c r="AJ10" s="170"/>
      <c r="AK10" s="350"/>
      <c r="AL10" s="170"/>
      <c r="AM10" s="170"/>
      <c r="AN10" s="170"/>
      <c r="AO10" s="350"/>
      <c r="AP10" s="170"/>
      <c r="AQ10" s="170"/>
      <c r="AR10" s="170"/>
      <c r="AS10" s="350"/>
      <c r="AT10" s="170"/>
      <c r="AU10" s="170"/>
      <c r="AV10" s="170"/>
      <c r="AW10" s="350"/>
      <c r="AX10" s="170"/>
      <c r="AY10" s="170"/>
      <c r="AZ10" s="170"/>
      <c r="BA10" s="350"/>
      <c r="BB10" s="170">
        <v>2</v>
      </c>
      <c r="BC10" s="170"/>
      <c r="BD10" s="170"/>
      <c r="BE10" s="350"/>
      <c r="BF10" s="170"/>
      <c r="BG10" s="170"/>
      <c r="BH10" s="170"/>
      <c r="BI10" s="350"/>
      <c r="BJ10" s="170"/>
      <c r="BK10" s="170"/>
      <c r="BL10" s="170"/>
      <c r="BM10" s="350"/>
      <c r="BN10" s="170"/>
      <c r="BO10" s="170"/>
      <c r="BP10" s="170"/>
      <c r="BQ10" s="350"/>
      <c r="BR10" s="170"/>
      <c r="BS10" s="170"/>
      <c r="BT10" s="170"/>
      <c r="BU10" s="350"/>
      <c r="BV10" s="170">
        <v>1</v>
      </c>
      <c r="BW10" s="170"/>
      <c r="BX10" s="170"/>
      <c r="BY10" s="350"/>
      <c r="BZ10" s="170"/>
      <c r="CA10" s="170"/>
      <c r="CB10" s="170"/>
      <c r="CC10" s="350"/>
      <c r="CD10" s="170"/>
      <c r="CE10" s="170"/>
      <c r="CF10" s="170"/>
      <c r="CG10" s="350"/>
      <c r="CH10" s="170"/>
      <c r="CI10" s="170"/>
      <c r="CJ10" s="170"/>
      <c r="CK10" s="350"/>
      <c r="CL10" s="345"/>
      <c r="CM10" s="345"/>
      <c r="CN10" s="345"/>
      <c r="CO10" s="351"/>
      <c r="CP10" s="345"/>
      <c r="CQ10" s="345"/>
      <c r="CR10" s="345"/>
      <c r="CS10" s="351"/>
      <c r="CT10" s="351"/>
      <c r="CU10" s="351"/>
      <c r="CV10" s="351"/>
      <c r="CW10" s="129"/>
      <c r="CX10" s="129"/>
      <c r="CY10" s="129"/>
      <c r="CZ10" s="129"/>
    </row>
    <row r="11" spans="1:104" ht="13.5" customHeight="1" x14ac:dyDescent="0.2">
      <c r="A11" s="126"/>
      <c r="B11" s="158" t="s">
        <v>215</v>
      </c>
      <c r="C11" s="356" t="s">
        <v>189</v>
      </c>
      <c r="D11" s="170">
        <f t="shared" si="0"/>
        <v>2</v>
      </c>
      <c r="E11" s="170" t="str">
        <f t="shared" si="1"/>
        <v>0</v>
      </c>
      <c r="F11" s="170" t="str">
        <f t="shared" si="2"/>
        <v>0</v>
      </c>
      <c r="H11" s="174">
        <f t="shared" si="3"/>
        <v>16</v>
      </c>
      <c r="I11" s="124"/>
      <c r="J11" s="170"/>
      <c r="K11" s="170"/>
      <c r="L11" s="170"/>
      <c r="M11" s="350"/>
      <c r="N11" s="170"/>
      <c r="O11" s="170"/>
      <c r="P11" s="170"/>
      <c r="Q11" s="350"/>
      <c r="R11" s="170"/>
      <c r="S11" s="170"/>
      <c r="T11" s="170"/>
      <c r="U11" s="350"/>
      <c r="V11" s="170"/>
      <c r="W11" s="170"/>
      <c r="X11" s="170"/>
      <c r="Y11" s="350"/>
      <c r="Z11" s="170">
        <v>1</v>
      </c>
      <c r="AA11" s="170"/>
      <c r="AB11" s="170"/>
      <c r="AC11" s="350"/>
      <c r="AD11" s="170"/>
      <c r="AE11" s="170"/>
      <c r="AF11" s="170"/>
      <c r="AG11" s="350"/>
      <c r="AH11" s="170">
        <v>1</v>
      </c>
      <c r="AI11" s="170"/>
      <c r="AJ11" s="170"/>
      <c r="AK11" s="350"/>
      <c r="AL11" s="170"/>
      <c r="AM11" s="170"/>
      <c r="AN11" s="170"/>
      <c r="AO11" s="350"/>
      <c r="AP11" s="170"/>
      <c r="AQ11" s="170"/>
      <c r="AR11" s="170"/>
      <c r="AS11" s="350"/>
      <c r="AT11" s="170"/>
      <c r="AU11" s="170"/>
      <c r="AV11" s="170"/>
      <c r="AW11" s="350"/>
      <c r="AX11" s="170"/>
      <c r="AY11" s="170"/>
      <c r="AZ11" s="170"/>
      <c r="BA11" s="350"/>
      <c r="BB11" s="170"/>
      <c r="BC11" s="170"/>
      <c r="BD11" s="170"/>
      <c r="BE11" s="350"/>
      <c r="BF11" s="170"/>
      <c r="BG11" s="170"/>
      <c r="BH11" s="170"/>
      <c r="BI11" s="350"/>
      <c r="BJ11" s="170"/>
      <c r="BK11" s="170"/>
      <c r="BL11" s="170"/>
      <c r="BM11" s="350"/>
      <c r="BN11" s="170"/>
      <c r="BO11" s="170"/>
      <c r="BP11" s="170"/>
      <c r="BQ11" s="350"/>
      <c r="BR11" s="170"/>
      <c r="BS11" s="170"/>
      <c r="BT11" s="170"/>
      <c r="BU11" s="350"/>
      <c r="BV11" s="170"/>
      <c r="BW11" s="170"/>
      <c r="BX11" s="170"/>
      <c r="BY11" s="350"/>
      <c r="BZ11" s="170"/>
      <c r="CA11" s="170"/>
      <c r="CB11" s="170"/>
      <c r="CC11" s="350"/>
      <c r="CD11" s="170"/>
      <c r="CE11" s="170"/>
      <c r="CF11" s="170"/>
      <c r="CG11" s="350"/>
      <c r="CH11" s="170"/>
      <c r="CI11" s="170"/>
      <c r="CJ11" s="170"/>
      <c r="CK11" s="350"/>
      <c r="CL11" s="345"/>
      <c r="CM11" s="345"/>
      <c r="CN11" s="345"/>
      <c r="CO11" s="351"/>
      <c r="CP11" s="345"/>
      <c r="CQ11" s="345"/>
      <c r="CR11" s="345"/>
      <c r="CS11" s="351"/>
      <c r="CT11" s="351"/>
      <c r="CU11" s="351"/>
      <c r="CV11" s="351"/>
      <c r="CW11" s="129"/>
      <c r="CX11" s="129"/>
      <c r="CY11" s="129"/>
      <c r="CZ11" s="129"/>
    </row>
    <row r="12" spans="1:104" ht="13.5" customHeight="1" x14ac:dyDescent="0.2">
      <c r="A12" s="126"/>
      <c r="B12" s="158" t="s">
        <v>138</v>
      </c>
      <c r="C12" s="356" t="s">
        <v>193</v>
      </c>
      <c r="D12" s="170">
        <f t="shared" si="0"/>
        <v>2</v>
      </c>
      <c r="E12" s="170" t="str">
        <f t="shared" si="1"/>
        <v>0</v>
      </c>
      <c r="F12" s="170" t="str">
        <f t="shared" si="2"/>
        <v>0</v>
      </c>
      <c r="H12" s="174">
        <f t="shared" si="3"/>
        <v>16</v>
      </c>
      <c r="I12" s="124"/>
      <c r="J12" s="170"/>
      <c r="K12" s="170"/>
      <c r="L12" s="170"/>
      <c r="M12" s="350"/>
      <c r="N12" s="170"/>
      <c r="O12" s="170"/>
      <c r="P12" s="170"/>
      <c r="Q12" s="350"/>
      <c r="R12" s="170"/>
      <c r="S12" s="170"/>
      <c r="T12" s="170"/>
      <c r="U12" s="350"/>
      <c r="V12" s="170"/>
      <c r="W12" s="170"/>
      <c r="X12" s="170"/>
      <c r="Y12" s="350"/>
      <c r="Z12" s="170"/>
      <c r="AA12" s="170"/>
      <c r="AB12" s="170"/>
      <c r="AC12" s="350"/>
      <c r="AD12" s="170"/>
      <c r="AE12" s="170"/>
      <c r="AF12" s="170"/>
      <c r="AG12" s="350"/>
      <c r="AH12" s="170"/>
      <c r="AI12" s="170"/>
      <c r="AJ12" s="170"/>
      <c r="AK12" s="350"/>
      <c r="AL12" s="170"/>
      <c r="AM12" s="170"/>
      <c r="AN12" s="170"/>
      <c r="AO12" s="350"/>
      <c r="AP12" s="170"/>
      <c r="AQ12" s="170"/>
      <c r="AR12" s="170"/>
      <c r="AS12" s="350"/>
      <c r="AT12" s="170">
        <v>2</v>
      </c>
      <c r="AU12" s="170"/>
      <c r="AV12" s="170"/>
      <c r="AW12" s="350"/>
      <c r="AX12" s="170"/>
      <c r="AY12" s="170"/>
      <c r="AZ12" s="170"/>
      <c r="BA12" s="350"/>
      <c r="BB12" s="170"/>
      <c r="BC12" s="170"/>
      <c r="BD12" s="170"/>
      <c r="BE12" s="350"/>
      <c r="BF12" s="170"/>
      <c r="BG12" s="170"/>
      <c r="BH12" s="170"/>
      <c r="BI12" s="350"/>
      <c r="BJ12" s="170"/>
      <c r="BK12" s="170"/>
      <c r="BL12" s="170"/>
      <c r="BM12" s="350"/>
      <c r="BN12" s="170"/>
      <c r="BO12" s="170"/>
      <c r="BP12" s="170"/>
      <c r="BQ12" s="350"/>
      <c r="BR12" s="170"/>
      <c r="BS12" s="170"/>
      <c r="BT12" s="170"/>
      <c r="BU12" s="350"/>
      <c r="BV12" s="170"/>
      <c r="BW12" s="170"/>
      <c r="BX12" s="170"/>
      <c r="BY12" s="350"/>
      <c r="BZ12" s="170"/>
      <c r="CA12" s="170"/>
      <c r="CB12" s="170"/>
      <c r="CC12" s="350"/>
      <c r="CD12" s="170"/>
      <c r="CE12" s="170"/>
      <c r="CF12" s="170"/>
      <c r="CG12" s="350"/>
      <c r="CH12" s="170"/>
      <c r="CI12" s="170"/>
      <c r="CJ12" s="170"/>
      <c r="CK12" s="350"/>
      <c r="CL12" s="345"/>
      <c r="CM12" s="345"/>
      <c r="CN12" s="345"/>
      <c r="CO12" s="351"/>
      <c r="CP12" s="345"/>
      <c r="CQ12" s="345"/>
      <c r="CR12" s="345"/>
      <c r="CS12" s="351"/>
      <c r="CT12" s="351"/>
      <c r="CU12" s="351"/>
      <c r="CV12" s="351"/>
      <c r="CW12" s="129"/>
      <c r="CX12" s="129"/>
      <c r="CY12" s="129"/>
      <c r="CZ12" s="129"/>
    </row>
    <row r="13" spans="1:104" ht="13.5" customHeight="1" x14ac:dyDescent="0.2">
      <c r="A13" s="126"/>
      <c r="B13" s="158" t="s">
        <v>186</v>
      </c>
      <c r="C13" s="356" t="s">
        <v>189</v>
      </c>
      <c r="D13" s="170">
        <f t="shared" ref="D13" si="4">IF(SUM(J13,N13,R13,V13,Z13,AD13,AH13,AL13,AP13,AT13,AX13,BB13,BF13,BJ13,BN13,BR13,BV13,BZ13,CD13,CH13,CL13,CP13)&lt;1,"0",SUM(J13,N13,R13,V13,Z13,AD13,AH13,AL13,AP13,AT13,AX13,BB13,BF13,BJ13,BN13,BR13,BV13,BZ13,CD13,CH13,CL13,CP13))</f>
        <v>2</v>
      </c>
      <c r="E13" s="170" t="str">
        <f t="shared" ref="E13" si="5">IF(SUM(K13,O13,S13,W13,AA13,AE13,AI13,AM13,AQ13,AU13,AY13,BC13,BG13,BK13,BO13,BS13,BW13,CA13,CE13,CI13,CM13,CQ13)&lt;1,"0",SUM(K13,O13,S13,W13,AA13,AE13,AI13,AM13,AQ13,AU13,AY13,BC13,BG13,BK13,BO13,BS13,BW13,CA13,CE13,CI13,CM13,CQ13))</f>
        <v>0</v>
      </c>
      <c r="F13" s="170" t="str">
        <f t="shared" ref="F13" si="6">IF(SUM(L13,P13,T13,X13,AB13,AF13,AJ13,AN13,AR13,AV13,AZ13,BD13,BH13,BL13,BP13,BT13,BX13,CB13,CF13,CJ13,CN13,CR13)&lt;0.5,"0",SUM(L13,P13,T13,X13,AB13,AF13,AJ13,AN13,AR13,AV13,AZ13,BD13,BH13,BL13,BP13,BT13,BX13,CB13,CF13,CJ13,CN13,CR13))</f>
        <v>0</v>
      </c>
      <c r="H13" s="174">
        <f t="shared" ref="H13" si="7">IF(D13="",0,D13*8)+IF(E13="",0,E13*12)+IF(F13="",0,F13*8)</f>
        <v>16</v>
      </c>
      <c r="I13" s="124"/>
      <c r="J13" s="170"/>
      <c r="K13" s="170"/>
      <c r="L13" s="170"/>
      <c r="M13" s="350"/>
      <c r="N13" s="170"/>
      <c r="O13" s="170"/>
      <c r="P13" s="170"/>
      <c r="Q13" s="350"/>
      <c r="R13" s="170"/>
      <c r="S13" s="170"/>
      <c r="T13" s="170"/>
      <c r="U13" s="350"/>
      <c r="V13" s="170"/>
      <c r="W13" s="170"/>
      <c r="X13" s="170"/>
      <c r="Y13" s="350"/>
      <c r="Z13" s="170"/>
      <c r="AA13" s="170"/>
      <c r="AB13" s="170"/>
      <c r="AC13" s="350"/>
      <c r="AD13" s="170"/>
      <c r="AE13" s="170"/>
      <c r="AF13" s="170"/>
      <c r="AG13" s="350"/>
      <c r="AH13" s="170"/>
      <c r="AI13" s="170"/>
      <c r="AJ13" s="170"/>
      <c r="AK13" s="350"/>
      <c r="AL13" s="170"/>
      <c r="AM13" s="170"/>
      <c r="AN13" s="170"/>
      <c r="AO13" s="350"/>
      <c r="AP13" s="170"/>
      <c r="AQ13" s="170"/>
      <c r="AR13" s="170"/>
      <c r="AS13" s="350"/>
      <c r="AT13" s="170"/>
      <c r="AU13" s="170"/>
      <c r="AV13" s="170"/>
      <c r="AW13" s="350"/>
      <c r="AX13" s="170"/>
      <c r="AY13" s="170"/>
      <c r="AZ13" s="170"/>
      <c r="BA13" s="350"/>
      <c r="BB13" s="170"/>
      <c r="BC13" s="170"/>
      <c r="BD13" s="170"/>
      <c r="BE13" s="350"/>
      <c r="BF13" s="170"/>
      <c r="BG13" s="170"/>
      <c r="BH13" s="170"/>
      <c r="BI13" s="350"/>
      <c r="BJ13" s="170"/>
      <c r="BK13" s="170"/>
      <c r="BL13" s="170"/>
      <c r="BM13" s="350"/>
      <c r="BN13" s="170"/>
      <c r="BO13" s="170"/>
      <c r="BP13" s="170"/>
      <c r="BQ13" s="350"/>
      <c r="BR13" s="170"/>
      <c r="BS13" s="170"/>
      <c r="BT13" s="170"/>
      <c r="BU13" s="350"/>
      <c r="BV13" s="170"/>
      <c r="BW13" s="170"/>
      <c r="BX13" s="170"/>
      <c r="BY13" s="350"/>
      <c r="BZ13" s="170">
        <v>2</v>
      </c>
      <c r="CA13" s="170"/>
      <c r="CB13" s="170"/>
      <c r="CC13" s="350"/>
      <c r="CD13" s="170"/>
      <c r="CE13" s="170"/>
      <c r="CF13" s="170"/>
      <c r="CG13" s="350"/>
      <c r="CH13" s="170"/>
      <c r="CI13" s="170"/>
      <c r="CJ13" s="170"/>
      <c r="CK13" s="350"/>
      <c r="CL13" s="345"/>
      <c r="CM13" s="345"/>
      <c r="CN13" s="345"/>
      <c r="CO13" s="351"/>
      <c r="CP13" s="345"/>
      <c r="CQ13" s="345"/>
      <c r="CR13" s="345"/>
      <c r="CS13" s="351"/>
      <c r="CT13" s="351"/>
      <c r="CU13" s="351"/>
      <c r="CV13" s="351"/>
      <c r="CW13" s="285"/>
      <c r="CX13" s="285"/>
      <c r="CY13" s="285"/>
      <c r="CZ13" s="285"/>
    </row>
    <row r="14" spans="1:104" ht="13.5" customHeight="1" x14ac:dyDescent="0.2">
      <c r="A14" s="126"/>
      <c r="B14" s="158" t="s">
        <v>268</v>
      </c>
      <c r="C14" s="159" t="s">
        <v>189</v>
      </c>
      <c r="D14" s="170">
        <f t="shared" ref="D14:E20" si="8">IF(SUM(J14,N14,R14,V14,Z14,AD14,AH14,AL14,AP14,AT14,AX14,BB14,BF14,BJ14,BN14,BR14,BV14,BZ14,CD14,CH14,CL14,CP14)&lt;1,"0",SUM(J14,N14,R14,V14,Z14,AD14,AH14,AL14,AP14,AT14,AX14,BB14,BF14,BJ14,BN14,BR14,BV14,BZ14,CD14,CH14,CL14,CP14))</f>
        <v>1</v>
      </c>
      <c r="E14" s="170" t="str">
        <f t="shared" si="8"/>
        <v>0</v>
      </c>
      <c r="F14" s="170" t="str">
        <f t="shared" ref="F14:F20" si="9">IF(SUM(L14,P14,T14,X14,AB14,AF14,AJ14,AN14,AR14,AV14,AZ14,BD14,BH14,BL14,BP14,BT14,BX14,CB14,CF14,CJ14,CN14,CR14)&lt;0.5,"0",SUM(L14,P14,T14,X14,AB14,AF14,AJ14,AN14,AR14,AV14,AZ14,BD14,BH14,BL14,BP14,BT14,BX14,CB14,CF14,CJ14,CN14,CR14))</f>
        <v>0</v>
      </c>
      <c r="H14" s="174">
        <f t="shared" ref="H14:H20" si="10">IF(D14="",0,D14*8)+IF(E14="",0,E14*12)+IF(F14="",0,F14*8)</f>
        <v>8</v>
      </c>
      <c r="I14" s="124"/>
      <c r="J14" s="170"/>
      <c r="K14" s="170"/>
      <c r="L14" s="170"/>
      <c r="M14" s="350"/>
      <c r="N14" s="170"/>
      <c r="O14" s="170"/>
      <c r="P14" s="170"/>
      <c r="Q14" s="350"/>
      <c r="R14" s="170">
        <v>1</v>
      </c>
      <c r="S14" s="170"/>
      <c r="T14" s="170"/>
      <c r="U14" s="350"/>
      <c r="V14" s="170"/>
      <c r="W14" s="170"/>
      <c r="X14" s="170"/>
      <c r="Y14" s="350"/>
      <c r="Z14" s="170"/>
      <c r="AA14" s="170"/>
      <c r="AB14" s="170"/>
      <c r="AC14" s="350"/>
      <c r="AD14" s="170"/>
      <c r="AE14" s="170"/>
      <c r="AF14" s="170"/>
      <c r="AG14" s="350"/>
      <c r="AH14" s="170"/>
      <c r="AI14" s="170"/>
      <c r="AJ14" s="170"/>
      <c r="AK14" s="350"/>
      <c r="AL14" s="170"/>
      <c r="AM14" s="170"/>
      <c r="AN14" s="170"/>
      <c r="AO14" s="350"/>
      <c r="AP14" s="170"/>
      <c r="AQ14" s="170"/>
      <c r="AR14" s="170"/>
      <c r="AS14" s="350"/>
      <c r="AT14" s="170"/>
      <c r="AU14" s="170"/>
      <c r="AV14" s="170"/>
      <c r="AW14" s="350"/>
      <c r="AX14" s="170"/>
      <c r="AY14" s="170"/>
      <c r="AZ14" s="170"/>
      <c r="BA14" s="350"/>
      <c r="BB14" s="170"/>
      <c r="BC14" s="170"/>
      <c r="BD14" s="170"/>
      <c r="BE14" s="350"/>
      <c r="BF14" s="170"/>
      <c r="BG14" s="170"/>
      <c r="BH14" s="170"/>
      <c r="BI14" s="350"/>
      <c r="BJ14" s="170"/>
      <c r="BK14" s="170"/>
      <c r="BL14" s="170"/>
      <c r="BM14" s="350"/>
      <c r="BN14" s="170"/>
      <c r="BO14" s="170"/>
      <c r="BP14" s="170"/>
      <c r="BQ14" s="350"/>
      <c r="BR14" s="170"/>
      <c r="BS14" s="170"/>
      <c r="BT14" s="170"/>
      <c r="BU14" s="350"/>
      <c r="BV14" s="170"/>
      <c r="BW14" s="170"/>
      <c r="BX14" s="170"/>
      <c r="BY14" s="350"/>
      <c r="BZ14" s="170"/>
      <c r="CA14" s="170"/>
      <c r="CB14" s="170"/>
      <c r="CC14" s="350"/>
      <c r="CD14" s="170"/>
      <c r="CE14" s="170"/>
      <c r="CF14" s="170"/>
      <c r="CG14" s="350"/>
      <c r="CH14" s="170"/>
      <c r="CI14" s="170"/>
      <c r="CJ14" s="170"/>
      <c r="CK14" s="350"/>
      <c r="CL14" s="345"/>
      <c r="CM14" s="345"/>
      <c r="CN14" s="345"/>
      <c r="CO14" s="351"/>
      <c r="CP14" s="345"/>
      <c r="CQ14" s="345"/>
      <c r="CR14" s="345"/>
      <c r="CS14" s="351"/>
      <c r="CT14" s="351"/>
      <c r="CU14" s="351"/>
      <c r="CV14" s="351"/>
      <c r="CW14" s="285"/>
      <c r="CX14" s="285"/>
      <c r="CY14" s="285"/>
      <c r="CZ14" s="285"/>
    </row>
    <row r="15" spans="1:104" ht="13.5" customHeight="1" x14ac:dyDescent="0.2">
      <c r="A15" s="126"/>
      <c r="B15" s="158" t="s">
        <v>278</v>
      </c>
      <c r="C15" s="356" t="s">
        <v>188</v>
      </c>
      <c r="D15" s="170">
        <f t="shared" si="8"/>
        <v>1</v>
      </c>
      <c r="E15" s="170" t="str">
        <f t="shared" si="8"/>
        <v>0</v>
      </c>
      <c r="F15" s="170" t="str">
        <f t="shared" si="9"/>
        <v>0</v>
      </c>
      <c r="H15" s="174">
        <f t="shared" si="10"/>
        <v>8</v>
      </c>
      <c r="I15" s="124"/>
      <c r="J15" s="170"/>
      <c r="K15" s="170"/>
      <c r="L15" s="170"/>
      <c r="M15" s="350"/>
      <c r="N15" s="170"/>
      <c r="O15" s="170"/>
      <c r="P15" s="170"/>
      <c r="Q15" s="350"/>
      <c r="R15" s="170"/>
      <c r="S15" s="170"/>
      <c r="T15" s="170"/>
      <c r="U15" s="350"/>
      <c r="V15" s="170"/>
      <c r="W15" s="170"/>
      <c r="X15" s="170"/>
      <c r="Y15" s="350"/>
      <c r="Z15" s="170"/>
      <c r="AA15" s="170"/>
      <c r="AB15" s="170"/>
      <c r="AC15" s="350"/>
      <c r="AD15" s="170"/>
      <c r="AE15" s="170"/>
      <c r="AF15" s="170"/>
      <c r="AG15" s="350"/>
      <c r="AH15" s="170"/>
      <c r="AI15" s="170"/>
      <c r="AJ15" s="170"/>
      <c r="AK15" s="350"/>
      <c r="AL15" s="170"/>
      <c r="AM15" s="170"/>
      <c r="AN15" s="170"/>
      <c r="AO15" s="350"/>
      <c r="AP15" s="170">
        <v>1</v>
      </c>
      <c r="AQ15" s="170"/>
      <c r="AR15" s="170"/>
      <c r="AS15" s="350"/>
      <c r="AT15" s="170"/>
      <c r="AU15" s="170"/>
      <c r="AV15" s="170"/>
      <c r="AW15" s="350"/>
      <c r="AX15" s="170"/>
      <c r="AY15" s="170"/>
      <c r="AZ15" s="170"/>
      <c r="BA15" s="350"/>
      <c r="BB15" s="170"/>
      <c r="BC15" s="170"/>
      <c r="BD15" s="170"/>
      <c r="BE15" s="350"/>
      <c r="BF15" s="170"/>
      <c r="BG15" s="170"/>
      <c r="BH15" s="170"/>
      <c r="BI15" s="350"/>
      <c r="BJ15" s="170"/>
      <c r="BK15" s="170"/>
      <c r="BL15" s="170"/>
      <c r="BM15" s="350"/>
      <c r="BN15" s="170"/>
      <c r="BO15" s="170"/>
      <c r="BP15" s="170"/>
      <c r="BQ15" s="350"/>
      <c r="BR15" s="170"/>
      <c r="BS15" s="170"/>
      <c r="BT15" s="170"/>
      <c r="BU15" s="350"/>
      <c r="BV15" s="170"/>
      <c r="BW15" s="170"/>
      <c r="BX15" s="170"/>
      <c r="BY15" s="350"/>
      <c r="BZ15" s="170"/>
      <c r="CA15" s="170"/>
      <c r="CB15" s="170"/>
      <c r="CC15" s="350"/>
      <c r="CD15" s="170"/>
      <c r="CE15" s="170"/>
      <c r="CF15" s="170"/>
      <c r="CG15" s="350"/>
      <c r="CH15" s="170"/>
      <c r="CI15" s="170"/>
      <c r="CJ15" s="170"/>
      <c r="CK15" s="350"/>
      <c r="CL15" s="345"/>
      <c r="CM15" s="345"/>
      <c r="CN15" s="345"/>
      <c r="CO15" s="351"/>
      <c r="CP15" s="345"/>
      <c r="CQ15" s="345"/>
      <c r="CR15" s="345"/>
      <c r="CS15" s="351"/>
      <c r="CT15" s="351"/>
      <c r="CU15" s="351"/>
      <c r="CV15" s="351"/>
      <c r="CW15" s="129"/>
      <c r="CX15" s="129"/>
      <c r="CY15" s="129"/>
      <c r="CZ15" s="129"/>
    </row>
    <row r="16" spans="1:104" ht="13.5" customHeight="1" x14ac:dyDescent="0.2">
      <c r="A16" s="126"/>
      <c r="B16" s="158" t="s">
        <v>221</v>
      </c>
      <c r="C16" s="356" t="s">
        <v>189</v>
      </c>
      <c r="D16" s="170">
        <f t="shared" si="8"/>
        <v>1</v>
      </c>
      <c r="E16" s="170" t="str">
        <f t="shared" si="8"/>
        <v>0</v>
      </c>
      <c r="F16" s="170" t="str">
        <f t="shared" si="9"/>
        <v>0</v>
      </c>
      <c r="H16" s="174">
        <f t="shared" si="10"/>
        <v>8</v>
      </c>
      <c r="I16" s="124"/>
      <c r="J16" s="170"/>
      <c r="K16" s="170"/>
      <c r="L16" s="170"/>
      <c r="M16" s="350"/>
      <c r="N16" s="170"/>
      <c r="O16" s="170"/>
      <c r="P16" s="170"/>
      <c r="Q16" s="350"/>
      <c r="R16" s="170"/>
      <c r="S16" s="170"/>
      <c r="T16" s="170"/>
      <c r="U16" s="350"/>
      <c r="V16" s="170"/>
      <c r="W16" s="170"/>
      <c r="X16" s="170"/>
      <c r="Y16" s="350"/>
      <c r="Z16" s="170"/>
      <c r="AA16" s="170"/>
      <c r="AB16" s="170"/>
      <c r="AC16" s="350"/>
      <c r="AD16" s="170"/>
      <c r="AE16" s="170"/>
      <c r="AF16" s="170"/>
      <c r="AG16" s="350"/>
      <c r="AH16" s="170"/>
      <c r="AI16" s="170"/>
      <c r="AJ16" s="170"/>
      <c r="AK16" s="350"/>
      <c r="AL16" s="170"/>
      <c r="AM16" s="170"/>
      <c r="AN16" s="170"/>
      <c r="AO16" s="350"/>
      <c r="AP16" s="170">
        <v>1</v>
      </c>
      <c r="AQ16" s="170"/>
      <c r="AR16" s="170"/>
      <c r="AS16" s="350"/>
      <c r="AT16" s="170"/>
      <c r="AU16" s="170"/>
      <c r="AV16" s="170"/>
      <c r="AW16" s="350"/>
      <c r="AX16" s="170"/>
      <c r="AY16" s="170"/>
      <c r="AZ16" s="170"/>
      <c r="BA16" s="350"/>
      <c r="BB16" s="170"/>
      <c r="BC16" s="170"/>
      <c r="BD16" s="170"/>
      <c r="BE16" s="350"/>
      <c r="BF16" s="170"/>
      <c r="BG16" s="170"/>
      <c r="BH16" s="170"/>
      <c r="BI16" s="350"/>
      <c r="BJ16" s="170"/>
      <c r="BK16" s="170"/>
      <c r="BL16" s="170"/>
      <c r="BM16" s="350"/>
      <c r="BN16" s="170"/>
      <c r="BO16" s="170"/>
      <c r="BP16" s="170"/>
      <c r="BQ16" s="350"/>
      <c r="BR16" s="170"/>
      <c r="BS16" s="170"/>
      <c r="BT16" s="170"/>
      <c r="BU16" s="350"/>
      <c r="BV16" s="170"/>
      <c r="BW16" s="170"/>
      <c r="BX16" s="170"/>
      <c r="BY16" s="350"/>
      <c r="BZ16" s="170"/>
      <c r="CA16" s="170"/>
      <c r="CB16" s="170"/>
      <c r="CC16" s="350"/>
      <c r="CD16" s="170"/>
      <c r="CE16" s="170"/>
      <c r="CF16" s="170"/>
      <c r="CG16" s="350"/>
      <c r="CH16" s="170"/>
      <c r="CI16" s="170"/>
      <c r="CJ16" s="170"/>
      <c r="CK16" s="350"/>
      <c r="CL16" s="345"/>
      <c r="CM16" s="345"/>
      <c r="CN16" s="345"/>
      <c r="CO16" s="351"/>
      <c r="CP16" s="345"/>
      <c r="CQ16" s="345"/>
      <c r="CR16" s="345"/>
      <c r="CS16" s="351"/>
      <c r="CT16" s="351"/>
      <c r="CU16" s="351"/>
      <c r="CV16" s="351"/>
      <c r="CW16" s="129"/>
      <c r="CX16" s="129"/>
      <c r="CY16" s="129"/>
      <c r="CZ16" s="129"/>
    </row>
    <row r="17" spans="1:104" ht="13.5" customHeight="1" x14ac:dyDescent="0.2">
      <c r="A17" s="126"/>
      <c r="B17" s="158" t="s">
        <v>55</v>
      </c>
      <c r="C17" s="356" t="s">
        <v>191</v>
      </c>
      <c r="D17" s="170">
        <f t="shared" si="8"/>
        <v>1</v>
      </c>
      <c r="E17" s="170" t="str">
        <f t="shared" si="8"/>
        <v>0</v>
      </c>
      <c r="F17" s="170" t="str">
        <f t="shared" si="9"/>
        <v>0</v>
      </c>
      <c r="H17" s="174">
        <f t="shared" si="10"/>
        <v>8</v>
      </c>
      <c r="I17" s="124"/>
      <c r="J17" s="170"/>
      <c r="K17" s="170"/>
      <c r="L17" s="170"/>
      <c r="M17" s="350"/>
      <c r="N17" s="170"/>
      <c r="O17" s="170"/>
      <c r="P17" s="170"/>
      <c r="Q17" s="350"/>
      <c r="R17" s="170"/>
      <c r="S17" s="170"/>
      <c r="T17" s="170"/>
      <c r="U17" s="350"/>
      <c r="V17" s="170"/>
      <c r="W17" s="170"/>
      <c r="X17" s="170"/>
      <c r="Y17" s="350"/>
      <c r="Z17" s="170"/>
      <c r="AA17" s="170"/>
      <c r="AB17" s="170"/>
      <c r="AC17" s="350"/>
      <c r="AD17" s="170"/>
      <c r="AE17" s="170"/>
      <c r="AF17" s="170"/>
      <c r="AG17" s="350"/>
      <c r="AH17" s="170"/>
      <c r="AI17" s="170"/>
      <c r="AJ17" s="170"/>
      <c r="AK17" s="350"/>
      <c r="AL17" s="170"/>
      <c r="AM17" s="170"/>
      <c r="AN17" s="170"/>
      <c r="AO17" s="350"/>
      <c r="AP17" s="170"/>
      <c r="AQ17" s="170"/>
      <c r="AR17" s="170"/>
      <c r="AS17" s="350"/>
      <c r="AT17" s="170"/>
      <c r="AU17" s="170"/>
      <c r="AV17" s="170"/>
      <c r="AW17" s="350"/>
      <c r="AX17" s="170"/>
      <c r="AY17" s="170"/>
      <c r="AZ17" s="170"/>
      <c r="BA17" s="350"/>
      <c r="BB17" s="170"/>
      <c r="BC17" s="170"/>
      <c r="BD17" s="170"/>
      <c r="BE17" s="350"/>
      <c r="BF17" s="170"/>
      <c r="BG17" s="170"/>
      <c r="BH17" s="170"/>
      <c r="BI17" s="350"/>
      <c r="BJ17" s="170"/>
      <c r="BK17" s="170"/>
      <c r="BL17" s="170"/>
      <c r="BM17" s="350"/>
      <c r="BN17" s="170"/>
      <c r="BO17" s="170"/>
      <c r="BP17" s="170"/>
      <c r="BQ17" s="350"/>
      <c r="BR17" s="170"/>
      <c r="BS17" s="170"/>
      <c r="BT17" s="170"/>
      <c r="BU17" s="350"/>
      <c r="BV17" s="170">
        <v>1</v>
      </c>
      <c r="BW17" s="170"/>
      <c r="BX17" s="170"/>
      <c r="BY17" s="350"/>
      <c r="BZ17" s="170"/>
      <c r="CA17" s="170"/>
      <c r="CB17" s="170"/>
      <c r="CC17" s="350"/>
      <c r="CD17" s="170"/>
      <c r="CE17" s="170"/>
      <c r="CF17" s="170"/>
      <c r="CG17" s="350"/>
      <c r="CH17" s="170"/>
      <c r="CI17" s="170"/>
      <c r="CJ17" s="170"/>
      <c r="CK17" s="350"/>
      <c r="CL17" s="345"/>
      <c r="CM17" s="345"/>
      <c r="CN17" s="345"/>
      <c r="CO17" s="351"/>
      <c r="CP17" s="345"/>
      <c r="CQ17" s="345"/>
      <c r="CR17" s="345"/>
      <c r="CS17" s="351"/>
      <c r="CT17" s="351"/>
      <c r="CU17" s="351"/>
      <c r="CV17" s="351"/>
      <c r="CW17" s="129"/>
      <c r="CX17" s="129"/>
      <c r="CY17" s="129"/>
      <c r="CZ17" s="129"/>
    </row>
    <row r="18" spans="1:104" ht="13.5" customHeight="1" x14ac:dyDescent="0.2">
      <c r="A18" s="126"/>
      <c r="B18" s="158" t="s">
        <v>31</v>
      </c>
      <c r="C18" s="356" t="s">
        <v>191</v>
      </c>
      <c r="D18" s="170">
        <f t="shared" si="8"/>
        <v>1</v>
      </c>
      <c r="E18" s="170" t="str">
        <f t="shared" si="8"/>
        <v>0</v>
      </c>
      <c r="F18" s="170" t="str">
        <f t="shared" si="9"/>
        <v>0</v>
      </c>
      <c r="H18" s="174">
        <f t="shared" si="10"/>
        <v>8</v>
      </c>
      <c r="I18" s="124"/>
      <c r="J18" s="170"/>
      <c r="K18" s="170"/>
      <c r="L18" s="170"/>
      <c r="M18" s="350"/>
      <c r="N18" s="170"/>
      <c r="O18" s="170"/>
      <c r="P18" s="170"/>
      <c r="Q18" s="350"/>
      <c r="R18" s="170"/>
      <c r="S18" s="170"/>
      <c r="T18" s="170"/>
      <c r="U18" s="350"/>
      <c r="V18" s="170"/>
      <c r="W18" s="170"/>
      <c r="X18" s="170"/>
      <c r="Y18" s="350"/>
      <c r="Z18" s="170"/>
      <c r="AA18" s="170"/>
      <c r="AB18" s="170"/>
      <c r="AC18" s="350"/>
      <c r="AD18" s="170"/>
      <c r="AE18" s="170"/>
      <c r="AF18" s="170"/>
      <c r="AG18" s="350"/>
      <c r="AH18" s="170"/>
      <c r="AI18" s="170"/>
      <c r="AJ18" s="170"/>
      <c r="AK18" s="350"/>
      <c r="AL18" s="170"/>
      <c r="AM18" s="170"/>
      <c r="AN18" s="170"/>
      <c r="AO18" s="350"/>
      <c r="AP18" s="170"/>
      <c r="AQ18" s="170"/>
      <c r="AR18" s="170"/>
      <c r="AS18" s="350"/>
      <c r="AT18" s="170"/>
      <c r="AU18" s="170"/>
      <c r="AV18" s="170"/>
      <c r="AW18" s="350"/>
      <c r="AX18" s="170"/>
      <c r="AY18" s="170"/>
      <c r="AZ18" s="170"/>
      <c r="BA18" s="350"/>
      <c r="BB18" s="170"/>
      <c r="BC18" s="170"/>
      <c r="BD18" s="170"/>
      <c r="BE18" s="350"/>
      <c r="BF18" s="170"/>
      <c r="BG18" s="170"/>
      <c r="BH18" s="170"/>
      <c r="BI18" s="350"/>
      <c r="BJ18" s="170"/>
      <c r="BK18" s="170"/>
      <c r="BL18" s="170"/>
      <c r="BM18" s="350"/>
      <c r="BN18" s="170"/>
      <c r="BO18" s="170"/>
      <c r="BP18" s="170"/>
      <c r="BQ18" s="350"/>
      <c r="BR18" s="170"/>
      <c r="BS18" s="170"/>
      <c r="BT18" s="170"/>
      <c r="BU18" s="350"/>
      <c r="BV18" s="170"/>
      <c r="BW18" s="170"/>
      <c r="BX18" s="170"/>
      <c r="BY18" s="350"/>
      <c r="BZ18" s="170">
        <v>1</v>
      </c>
      <c r="CA18" s="170"/>
      <c r="CB18" s="170"/>
      <c r="CC18" s="350"/>
      <c r="CD18" s="170"/>
      <c r="CE18" s="170"/>
      <c r="CF18" s="170"/>
      <c r="CG18" s="350"/>
      <c r="CH18" s="170"/>
      <c r="CI18" s="170"/>
      <c r="CJ18" s="170"/>
      <c r="CK18" s="350"/>
      <c r="CL18" s="345"/>
      <c r="CM18" s="345"/>
      <c r="CN18" s="345"/>
      <c r="CO18" s="351"/>
      <c r="CP18" s="345"/>
      <c r="CQ18" s="345"/>
      <c r="CR18" s="345"/>
      <c r="CS18" s="351"/>
      <c r="CT18" s="351"/>
      <c r="CU18" s="351"/>
      <c r="CV18" s="351"/>
      <c r="CW18" s="129"/>
      <c r="CX18" s="129"/>
      <c r="CY18" s="129"/>
      <c r="CZ18" s="129"/>
    </row>
    <row r="19" spans="1:104" ht="13.5" customHeight="1" x14ac:dyDescent="0.2">
      <c r="A19" s="126"/>
      <c r="B19" s="158" t="s">
        <v>216</v>
      </c>
      <c r="C19" s="356" t="s">
        <v>189</v>
      </c>
      <c r="D19" s="170">
        <f t="shared" si="8"/>
        <v>3</v>
      </c>
      <c r="E19" s="170" t="str">
        <f t="shared" si="8"/>
        <v>0</v>
      </c>
      <c r="F19" s="170" t="str">
        <f t="shared" si="9"/>
        <v>0</v>
      </c>
      <c r="H19" s="174">
        <f t="shared" si="10"/>
        <v>24</v>
      </c>
      <c r="I19" s="124"/>
      <c r="J19" s="170"/>
      <c r="K19" s="170"/>
      <c r="L19" s="170"/>
      <c r="M19" s="350"/>
      <c r="N19" s="170"/>
      <c r="O19" s="170"/>
      <c r="P19" s="170"/>
      <c r="Q19" s="350"/>
      <c r="R19" s="170"/>
      <c r="S19" s="170"/>
      <c r="T19" s="170"/>
      <c r="U19" s="350"/>
      <c r="V19" s="170"/>
      <c r="W19" s="170"/>
      <c r="X19" s="170"/>
      <c r="Y19" s="350"/>
      <c r="Z19" s="170"/>
      <c r="AA19" s="170"/>
      <c r="AB19" s="170"/>
      <c r="AC19" s="350"/>
      <c r="AD19" s="170"/>
      <c r="AE19" s="170"/>
      <c r="AF19" s="170"/>
      <c r="AG19" s="350"/>
      <c r="AH19" s="170"/>
      <c r="AI19" s="170"/>
      <c r="AJ19" s="170"/>
      <c r="AK19" s="350"/>
      <c r="AL19" s="170"/>
      <c r="AM19" s="170"/>
      <c r="AN19" s="170"/>
      <c r="AO19" s="350"/>
      <c r="AP19" s="170"/>
      <c r="AQ19" s="170"/>
      <c r="AR19" s="170"/>
      <c r="AS19" s="350"/>
      <c r="AT19" s="170"/>
      <c r="AU19" s="170"/>
      <c r="AV19" s="170"/>
      <c r="AW19" s="350"/>
      <c r="AX19" s="170">
        <v>1</v>
      </c>
      <c r="AY19" s="170"/>
      <c r="AZ19" s="170"/>
      <c r="BA19" s="350"/>
      <c r="BB19" s="170"/>
      <c r="BC19" s="170"/>
      <c r="BD19" s="170"/>
      <c r="BE19" s="350"/>
      <c r="BF19" s="170"/>
      <c r="BG19" s="170"/>
      <c r="BH19" s="170"/>
      <c r="BI19" s="350"/>
      <c r="BJ19" s="170"/>
      <c r="BK19" s="170"/>
      <c r="BL19" s="170"/>
      <c r="BM19" s="350"/>
      <c r="BN19" s="170"/>
      <c r="BO19" s="170"/>
      <c r="BP19" s="170"/>
      <c r="BQ19" s="350"/>
      <c r="BR19" s="170"/>
      <c r="BS19" s="170"/>
      <c r="BT19" s="170"/>
      <c r="BU19" s="350"/>
      <c r="BV19" s="170"/>
      <c r="BW19" s="170"/>
      <c r="BX19" s="170"/>
      <c r="BY19" s="350"/>
      <c r="BZ19" s="170"/>
      <c r="CA19" s="170"/>
      <c r="CB19" s="170"/>
      <c r="CC19" s="350"/>
      <c r="CD19" s="170">
        <v>2</v>
      </c>
      <c r="CE19" s="170"/>
      <c r="CF19" s="170"/>
      <c r="CG19" s="350"/>
      <c r="CH19" s="170"/>
      <c r="CI19" s="170"/>
      <c r="CJ19" s="170"/>
      <c r="CK19" s="350"/>
      <c r="CL19" s="345"/>
      <c r="CM19" s="345"/>
      <c r="CN19" s="345"/>
      <c r="CO19" s="351"/>
      <c r="CP19" s="345"/>
      <c r="CQ19" s="345"/>
      <c r="CR19" s="345"/>
      <c r="CS19" s="351"/>
      <c r="CT19" s="351"/>
      <c r="CU19" s="351"/>
      <c r="CV19" s="351"/>
      <c r="CW19" s="129"/>
      <c r="CX19" s="129"/>
      <c r="CY19" s="129"/>
      <c r="CZ19" s="129"/>
    </row>
    <row r="20" spans="1:104" ht="13.5" customHeight="1" x14ac:dyDescent="0.2">
      <c r="A20" s="126"/>
      <c r="B20" s="158" t="s">
        <v>267</v>
      </c>
      <c r="C20" s="159" t="s">
        <v>189</v>
      </c>
      <c r="D20" s="170">
        <f t="shared" si="8"/>
        <v>1</v>
      </c>
      <c r="E20" s="170" t="str">
        <f t="shared" si="8"/>
        <v>0</v>
      </c>
      <c r="F20" s="170" t="str">
        <f t="shared" si="9"/>
        <v>0</v>
      </c>
      <c r="H20" s="174">
        <f t="shared" si="10"/>
        <v>8</v>
      </c>
      <c r="I20" s="124"/>
      <c r="J20" s="170"/>
      <c r="K20" s="170"/>
      <c r="L20" s="170"/>
      <c r="M20" s="350"/>
      <c r="N20" s="170"/>
      <c r="O20" s="170"/>
      <c r="P20" s="170"/>
      <c r="Q20" s="350"/>
      <c r="R20" s="170">
        <v>1</v>
      </c>
      <c r="S20" s="170"/>
      <c r="T20" s="170"/>
      <c r="U20" s="350"/>
      <c r="V20" s="170"/>
      <c r="W20" s="170"/>
      <c r="X20" s="170"/>
      <c r="Y20" s="350"/>
      <c r="Z20" s="170"/>
      <c r="AA20" s="170"/>
      <c r="AB20" s="170"/>
      <c r="AC20" s="350"/>
      <c r="AD20" s="170"/>
      <c r="AE20" s="170"/>
      <c r="AF20" s="170"/>
      <c r="AG20" s="350"/>
      <c r="AH20" s="170"/>
      <c r="AI20" s="170"/>
      <c r="AJ20" s="170"/>
      <c r="AK20" s="350"/>
      <c r="AL20" s="170"/>
      <c r="AM20" s="170"/>
      <c r="AN20" s="170"/>
      <c r="AO20" s="350"/>
      <c r="AP20" s="170"/>
      <c r="AQ20" s="170"/>
      <c r="AR20" s="170"/>
      <c r="AS20" s="350"/>
      <c r="AT20" s="170"/>
      <c r="AU20" s="170"/>
      <c r="AV20" s="170"/>
      <c r="AW20" s="350"/>
      <c r="AX20" s="170"/>
      <c r="AY20" s="170"/>
      <c r="AZ20" s="170"/>
      <c r="BA20" s="350"/>
      <c r="BB20" s="170"/>
      <c r="BC20" s="170"/>
      <c r="BD20" s="170"/>
      <c r="BE20" s="350"/>
      <c r="BF20" s="170"/>
      <c r="BG20" s="170"/>
      <c r="BH20" s="170"/>
      <c r="BI20" s="350"/>
      <c r="BJ20" s="170"/>
      <c r="BK20" s="170"/>
      <c r="BL20" s="170"/>
      <c r="BM20" s="350"/>
      <c r="BN20" s="170"/>
      <c r="BO20" s="170"/>
      <c r="BP20" s="170"/>
      <c r="BQ20" s="350"/>
      <c r="BR20" s="170"/>
      <c r="BS20" s="170"/>
      <c r="BT20" s="170"/>
      <c r="BU20" s="350"/>
      <c r="BV20" s="170"/>
      <c r="BW20" s="170"/>
      <c r="BX20" s="170"/>
      <c r="BY20" s="350"/>
      <c r="BZ20" s="170"/>
      <c r="CA20" s="170"/>
      <c r="CB20" s="170"/>
      <c r="CC20" s="350"/>
      <c r="CD20" s="170"/>
      <c r="CE20" s="170"/>
      <c r="CF20" s="170"/>
      <c r="CG20" s="350"/>
      <c r="CH20" s="170"/>
      <c r="CI20" s="170"/>
      <c r="CJ20" s="170"/>
      <c r="CK20" s="350"/>
      <c r="CL20" s="345"/>
      <c r="CM20" s="345"/>
      <c r="CN20" s="345"/>
      <c r="CO20" s="351"/>
      <c r="CP20" s="345"/>
      <c r="CQ20" s="345"/>
      <c r="CR20" s="345"/>
      <c r="CS20" s="351"/>
      <c r="CT20" s="351"/>
      <c r="CU20" s="351"/>
      <c r="CV20" s="351"/>
      <c r="CW20" s="129"/>
      <c r="CX20" s="129"/>
      <c r="CY20" s="129"/>
      <c r="CZ20" s="129"/>
    </row>
    <row r="21" spans="1:104" ht="13.5" customHeight="1" x14ac:dyDescent="0.2">
      <c r="B21" s="191"/>
      <c r="C21" s="354" t="s">
        <v>98</v>
      </c>
      <c r="D21" s="187">
        <f>IF(SUM(D5:D20)&lt;1,"",SUM(D5:D20))</f>
        <v>41</v>
      </c>
      <c r="E21" s="187">
        <f>IF(SUM(E5:E20)&lt;1,"",SUM(E5:E20))</f>
        <v>1</v>
      </c>
      <c r="F21" s="187">
        <f>IF(SUM(F5:F20)&lt;1,"",SUM(F5:F20))</f>
        <v>1</v>
      </c>
      <c r="H21" s="187">
        <f>SUM(H5:H20)</f>
        <v>348</v>
      </c>
      <c r="I21" s="124"/>
      <c r="J21" s="355" t="str">
        <f>IF(SUM(J5:J20)&lt;1,"-",SUM(J5:J20))</f>
        <v>-</v>
      </c>
      <c r="K21" s="355" t="str">
        <f>IF(SUM(K5:K20)&lt;1,"-",SUM(K5:K20))</f>
        <v>-</v>
      </c>
      <c r="L21" s="355" t="str">
        <f>IF(SUM(L5:L20)&lt;1,"-",SUM(L5:L20))</f>
        <v>-</v>
      </c>
      <c r="M21" s="263"/>
      <c r="N21" s="355" t="str">
        <f>IF(SUM(N5:N20)&lt;1,"-",SUM(N5:N20))</f>
        <v>-</v>
      </c>
      <c r="O21" s="355" t="str">
        <f>IF(SUM(O5:O20)&lt;1,"-",SUM(O5:O20))</f>
        <v>-</v>
      </c>
      <c r="P21" s="355" t="str">
        <f>IF(SUM(P5:P20)&lt;1,"-",SUM(P5:P20))</f>
        <v>-</v>
      </c>
      <c r="Q21" s="263"/>
      <c r="R21" s="355">
        <f>IF(SUM(R5:R20)&lt;1,"-",SUM(R5:R20))</f>
        <v>2</v>
      </c>
      <c r="S21" s="355" t="str">
        <f>IF(SUM(S5:S20)&lt;1,"-",SUM(S5:S20))</f>
        <v>-</v>
      </c>
      <c r="T21" s="355">
        <f>IF(SUM(T5:T20)&lt;1,"-",SUM(T5:T20))</f>
        <v>1</v>
      </c>
      <c r="U21" s="263"/>
      <c r="V21" s="355">
        <f>IF(SUM(V5:V20)&lt;1,"-",SUM(V5:V20))</f>
        <v>1</v>
      </c>
      <c r="W21" s="355">
        <f>IF(SUM(W5:W20)&lt;1,"-",SUM(W5:W20))</f>
        <v>1</v>
      </c>
      <c r="X21" s="355" t="str">
        <f>IF(SUM(X5:X20)&lt;1,"-",SUM(X5:X20))</f>
        <v>-</v>
      </c>
      <c r="Y21" s="263"/>
      <c r="Z21" s="355">
        <f>IF(SUM(Z5:Z20)&lt;1,"-",SUM(Z5:Z20))</f>
        <v>2</v>
      </c>
      <c r="AA21" s="355" t="str">
        <f>IF(SUM(AA5:AA20)&lt;1,"-",SUM(AA5:AA20))</f>
        <v>-</v>
      </c>
      <c r="AB21" s="355" t="str">
        <f>IF(SUM(AB5:AB20)&lt;1,"-",SUM(AB5:AB20))</f>
        <v>-</v>
      </c>
      <c r="AC21" s="263"/>
      <c r="AD21" s="355" t="str">
        <f>IF(SUM(AD5:AD20)&lt;1,"-",SUM(AD5:AD20))</f>
        <v>-</v>
      </c>
      <c r="AE21" s="355" t="str">
        <f>IF(SUM(AE5:AE20)&lt;1,"-",SUM(AE5:AE20))</f>
        <v>-</v>
      </c>
      <c r="AF21" s="355" t="str">
        <f>IF(SUM(AF5:AF20)&lt;1,"-",SUM(AF5:AF20))</f>
        <v>-</v>
      </c>
      <c r="AG21" s="263"/>
      <c r="AH21" s="355">
        <f>IF(SUM(AH5:AH20)&lt;1,"-",SUM(AH5:AH20))</f>
        <v>2</v>
      </c>
      <c r="AI21" s="355" t="str">
        <f>IF(SUM(AI5:AI20)&lt;1,"-",SUM(AI5:AI20))</f>
        <v>-</v>
      </c>
      <c r="AJ21" s="355" t="str">
        <f>IF(SUM(AJ5:AJ20)&lt;1,"-",SUM(AJ5:AJ20))</f>
        <v>-</v>
      </c>
      <c r="AK21" s="263"/>
      <c r="AL21" s="355">
        <f>IF(SUM(AL5:AL20)&lt;1,"-",SUM(AL5:AL20))</f>
        <v>1</v>
      </c>
      <c r="AM21" s="355" t="str">
        <f>IF(SUM(AM5:AM20)&lt;1,"-",SUM(AM5:AM20))</f>
        <v>-</v>
      </c>
      <c r="AN21" s="355" t="str">
        <f>IF(SUM(AN5:AN20)&lt;1,"-",SUM(AN5:AN20))</f>
        <v>-</v>
      </c>
      <c r="AO21" s="263"/>
      <c r="AP21" s="355">
        <f>IF(SUM(AP5:AP20)&lt;1,"-",SUM(AP5:AP20))</f>
        <v>3</v>
      </c>
      <c r="AQ21" s="355" t="str">
        <f>IF(SUM(AQ5:AQ20)&lt;1,"-",SUM(AQ5:AQ20))</f>
        <v>-</v>
      </c>
      <c r="AR21" s="355" t="str">
        <f>IF(SUM(AR5:AR20)&lt;1,"-",SUM(AR5:AR20))</f>
        <v>-</v>
      </c>
      <c r="AS21" s="263"/>
      <c r="AT21" s="355">
        <f>IF(SUM(AT5:AT20)&lt;1,"-",SUM(AT5:AT20))</f>
        <v>4</v>
      </c>
      <c r="AU21" s="355" t="str">
        <f>IF(SUM(AU5:AU20)&lt;1,"-",SUM(AU5:AU20))</f>
        <v>-</v>
      </c>
      <c r="AV21" s="355" t="str">
        <f>IF(SUM(AV5:AV20)&lt;1,"-",SUM(AV5:AV20))</f>
        <v>-</v>
      </c>
      <c r="AW21" s="263"/>
      <c r="AX21" s="355">
        <f>IF(SUM(AX5:AX20)&lt;1,"-",SUM(AX5:AX20))</f>
        <v>1</v>
      </c>
      <c r="AY21" s="355" t="str">
        <f>IF(SUM(AY5:AY20)&lt;1,"-",SUM(AY5:AY20))</f>
        <v>-</v>
      </c>
      <c r="AZ21" s="355" t="str">
        <f>IF(SUM(AZ5:AZ20)&lt;1,"-",SUM(AZ5:AZ20))</f>
        <v>-</v>
      </c>
      <c r="BA21" s="263"/>
      <c r="BB21" s="355">
        <f>IF(SUM(BB5:BB20)&lt;1,"-",SUM(BB5:BB20))</f>
        <v>4</v>
      </c>
      <c r="BC21" s="355" t="str">
        <f>IF(SUM(BC5:BC20)&lt;1,"-",SUM(BC5:BC20))</f>
        <v>-</v>
      </c>
      <c r="BD21" s="355" t="str">
        <f>IF(SUM(BD5:BD20)&lt;1,"-",SUM(BD5:BD20))</f>
        <v>-</v>
      </c>
      <c r="BE21" s="263"/>
      <c r="BF21" s="355" t="str">
        <f>IF(SUM(BF5:BF20)&lt;1,"-",SUM(BF5:BF20))</f>
        <v>-</v>
      </c>
      <c r="BG21" s="355" t="str">
        <f>IF(SUM(BG5:BG20)&lt;1,"-",SUM(BG5:BG20))</f>
        <v>-</v>
      </c>
      <c r="BH21" s="355" t="str">
        <f>IF(SUM(BH5:BH20)&lt;1,"-",SUM(BH5:BH20))</f>
        <v>-</v>
      </c>
      <c r="BI21" s="263"/>
      <c r="BJ21" s="355">
        <f>IF(SUM(BJ5:BJ20)&lt;1,"-",SUM(BJ5:BJ20))</f>
        <v>2</v>
      </c>
      <c r="BK21" s="355" t="str">
        <f>IF(SUM(BK5:BK20)&lt;1,"-",SUM(BK5:BK20))</f>
        <v>-</v>
      </c>
      <c r="BL21" s="355" t="str">
        <f>IF(SUM(BL5:BL20)&lt;1,"-",SUM(BL5:BL20))</f>
        <v>-</v>
      </c>
      <c r="BM21" s="263"/>
      <c r="BN21" s="355" t="str">
        <f>IF(SUM(BN5:BN20)&lt;1,"-",SUM(BN5:BN20))</f>
        <v>-</v>
      </c>
      <c r="BO21" s="355" t="str">
        <f>IF(SUM(BO5:BO20)&lt;1,"-",SUM(BO5:BO20))</f>
        <v>-</v>
      </c>
      <c r="BP21" s="355" t="str">
        <f>IF(SUM(BP5:BP20)&lt;1,"-",SUM(BP5:BP20))</f>
        <v>-</v>
      </c>
      <c r="BQ21" s="263"/>
      <c r="BR21" s="355">
        <f>IF(SUM(BR5:BR20)&lt;1,"-",SUM(BR5:BR20))</f>
        <v>2</v>
      </c>
      <c r="BS21" s="355" t="str">
        <f>IF(SUM(BS5:BS20)&lt;1,"-",SUM(BS5:BS20))</f>
        <v>-</v>
      </c>
      <c r="BT21" s="355" t="str">
        <f>IF(SUM(BT5:BT20)&lt;1,"-",SUM(BT5:BT20))</f>
        <v>-</v>
      </c>
      <c r="BU21" s="263"/>
      <c r="BV21" s="355">
        <f>IF(SUM(BV5:BV20)&lt;1,"-",SUM(BV5:BV20))</f>
        <v>8</v>
      </c>
      <c r="BW21" s="355" t="str">
        <f>IF(SUM(BW5:BW20)&lt;1,"-",SUM(BW5:BW20))</f>
        <v>-</v>
      </c>
      <c r="BX21" s="355" t="str">
        <f>IF(SUM(BX5:BX20)&lt;1,"-",SUM(BX5:BX20))</f>
        <v>-</v>
      </c>
      <c r="BY21" s="263"/>
      <c r="BZ21" s="355">
        <f>IF(SUM(BZ5:BZ20)&lt;1,"-",SUM(BZ5:BZ20))</f>
        <v>6</v>
      </c>
      <c r="CA21" s="355" t="str">
        <f>IF(SUM(CA5:CA20)&lt;1,"-",SUM(CA5:CA20))</f>
        <v>-</v>
      </c>
      <c r="CB21" s="355" t="str">
        <f>IF(SUM(CB5:CB20)&lt;1,"-",SUM(CB5:CB20))</f>
        <v>-</v>
      </c>
      <c r="CC21" s="263"/>
      <c r="CD21" s="355">
        <f>IF(SUM(CD5:CD20)&lt;1,"-",SUM(CD5:CD20))</f>
        <v>3</v>
      </c>
      <c r="CE21" s="355" t="str">
        <f>IF(SUM(CE5:CE20)&lt;1,"-",SUM(CE5:CE20))</f>
        <v>-</v>
      </c>
      <c r="CF21" s="355" t="str">
        <f>IF(SUM(CF5:CF20)&lt;1,"-",SUM(CF5:CF20))</f>
        <v>-</v>
      </c>
      <c r="CG21" s="263"/>
      <c r="CH21" s="355" t="str">
        <f>IF(SUM(CH5:CH20)&lt;1,"-",SUM(CH5:CH20))</f>
        <v>-</v>
      </c>
      <c r="CI21" s="355" t="str">
        <f>IF(SUM(CI5:CI20)&lt;1,"-",SUM(CI5:CI20))</f>
        <v>-</v>
      </c>
      <c r="CJ21" s="355" t="str">
        <f>IF(SUM(CJ5:CJ20)&lt;1,"-",SUM(CJ5:CJ20))</f>
        <v>-</v>
      </c>
      <c r="CK21" s="263"/>
      <c r="CL21" s="345"/>
      <c r="CM21" s="345"/>
      <c r="CN21" s="345"/>
      <c r="CO21" s="352"/>
      <c r="CP21" s="345"/>
      <c r="CQ21" s="345"/>
      <c r="CR21" s="345"/>
      <c r="CS21" s="352"/>
      <c r="CT21" s="352"/>
      <c r="CU21" s="351"/>
      <c r="CV21" s="352"/>
      <c r="CW21" s="129"/>
      <c r="CX21" s="129"/>
      <c r="CY21" s="129"/>
      <c r="CZ21" s="129"/>
    </row>
    <row r="22" spans="1:104" ht="13.5" customHeight="1" x14ac:dyDescent="0.2">
      <c r="M22" s="116"/>
      <c r="Q22" s="116"/>
      <c r="U22" s="116"/>
      <c r="Y22" s="116"/>
      <c r="AC22" s="116"/>
      <c r="AG22" s="116"/>
      <c r="AK22" s="116"/>
      <c r="AO22" s="116"/>
      <c r="AS22" s="116"/>
      <c r="AW22" s="116"/>
      <c r="BA22" s="116"/>
      <c r="BE22" s="116"/>
      <c r="BI22" s="116"/>
      <c r="BM22" s="116"/>
      <c r="BQ22" s="116"/>
      <c r="BU22" s="116"/>
      <c r="BY22" s="116"/>
      <c r="CC22" s="116"/>
      <c r="CG22" s="116"/>
      <c r="CK22" s="116"/>
    </row>
    <row r="23" spans="1:104" ht="13.5" customHeight="1" x14ac:dyDescent="0.2">
      <c r="B23" s="158" t="s">
        <v>44</v>
      </c>
      <c r="F23" s="125">
        <f>H23-H5</f>
        <v>0</v>
      </c>
      <c r="H23" s="125">
        <f>+I23+M23+Q23+U23+Y23+AC23+AG23+AK23+AO23+AS23+AW23+BA23+BE23+BM23+BI23+BQ23+BU23+BY23+CC23+CG23+CK23</f>
        <v>68</v>
      </c>
      <c r="I23" s="125">
        <f>SUM(J23:L23)</f>
        <v>0</v>
      </c>
      <c r="J23" s="125">
        <f>+J5*8</f>
        <v>0</v>
      </c>
      <c r="K23" s="125">
        <f>+K5*12</f>
        <v>0</v>
      </c>
      <c r="L23" s="125">
        <f>+L5*8</f>
        <v>0</v>
      </c>
      <c r="M23" s="125">
        <f t="shared" ref="M23:M36" si="11">SUM(N23:P23)</f>
        <v>0</v>
      </c>
      <c r="N23" s="125">
        <f>+N5*8</f>
        <v>0</v>
      </c>
      <c r="O23" s="125">
        <f>+O5*12</f>
        <v>0</v>
      </c>
      <c r="P23" s="125">
        <f>+P5*8</f>
        <v>0</v>
      </c>
      <c r="Q23" s="125">
        <f t="shared" ref="Q23:Q36" si="12">SUM(R23:T23)</f>
        <v>0</v>
      </c>
      <c r="R23" s="125">
        <f>+R5*8</f>
        <v>0</v>
      </c>
      <c r="S23" s="125">
        <f>+S5*12</f>
        <v>0</v>
      </c>
      <c r="T23" s="125">
        <f>+T5*8</f>
        <v>0</v>
      </c>
      <c r="U23" s="125">
        <f t="shared" ref="U23:U36" si="13">SUM(V23:X23)</f>
        <v>12</v>
      </c>
      <c r="V23" s="125">
        <f>+V5*8</f>
        <v>0</v>
      </c>
      <c r="W23" s="125">
        <f>+W5*12</f>
        <v>12</v>
      </c>
      <c r="X23" s="125">
        <f>+X5*8</f>
        <v>0</v>
      </c>
      <c r="Y23" s="125">
        <f t="shared" ref="Y23:Y36" si="14">SUM(Z23:AB23)</f>
        <v>8</v>
      </c>
      <c r="Z23" s="125">
        <f>+Z5*8</f>
        <v>8</v>
      </c>
      <c r="AA23" s="125">
        <f>+AA5*12</f>
        <v>0</v>
      </c>
      <c r="AB23" s="125">
        <f>+AB5*8</f>
        <v>0</v>
      </c>
      <c r="AC23" s="125">
        <f t="shared" ref="AC23:AC36" si="15">SUM(AD23:AF23)</f>
        <v>0</v>
      </c>
      <c r="AD23" s="125">
        <f>+AD5*8</f>
        <v>0</v>
      </c>
      <c r="AE23" s="125">
        <f>+AE5*12</f>
        <v>0</v>
      </c>
      <c r="AF23" s="125">
        <f>+AF5*8</f>
        <v>0</v>
      </c>
      <c r="AG23" s="125">
        <f t="shared" ref="AG23:AG36" si="16">SUM(AH23:AJ23)</f>
        <v>8</v>
      </c>
      <c r="AH23" s="125">
        <f>+AH5*8</f>
        <v>8</v>
      </c>
      <c r="AI23" s="125">
        <f>+AI5*12</f>
        <v>0</v>
      </c>
      <c r="AJ23" s="125">
        <f>+AJ5*8</f>
        <v>0</v>
      </c>
      <c r="AK23" s="125">
        <f t="shared" ref="AK23:AK36" si="17">SUM(AL23:AN23)</f>
        <v>0</v>
      </c>
      <c r="AL23" s="125">
        <f>+AL5*8</f>
        <v>0</v>
      </c>
      <c r="AM23" s="125">
        <f>+AM5*12</f>
        <v>0</v>
      </c>
      <c r="AN23" s="125">
        <f>+AN5*8</f>
        <v>0</v>
      </c>
      <c r="AO23" s="125">
        <f t="shared" ref="AO23:AO36" si="18">SUM(AP23:AR23)</f>
        <v>0</v>
      </c>
      <c r="AP23" s="125">
        <f>+AP5*8</f>
        <v>0</v>
      </c>
      <c r="AQ23" s="125">
        <f>+AQ5*12</f>
        <v>0</v>
      </c>
      <c r="AR23" s="125">
        <f>+AR5*8</f>
        <v>0</v>
      </c>
      <c r="AS23" s="125">
        <f t="shared" ref="AS23:AS36" si="19">SUM(AT23:AV23)</f>
        <v>0</v>
      </c>
      <c r="AT23" s="125">
        <f>+AT5*8</f>
        <v>0</v>
      </c>
      <c r="AU23" s="125">
        <f>+AU5*12</f>
        <v>0</v>
      </c>
      <c r="AV23" s="125">
        <f>+AV5*8</f>
        <v>0</v>
      </c>
      <c r="AW23" s="125">
        <f t="shared" ref="AW23:AW36" si="20">SUM(AX23:AZ23)</f>
        <v>0</v>
      </c>
      <c r="AX23" s="125">
        <f>+AX5*8</f>
        <v>0</v>
      </c>
      <c r="AY23" s="125">
        <f>+AY5*12</f>
        <v>0</v>
      </c>
      <c r="AZ23" s="125">
        <f>+AZ5*8</f>
        <v>0</v>
      </c>
      <c r="BA23" s="125">
        <f t="shared" ref="BA23:BA36" si="21">SUM(BB23:BD23)</f>
        <v>8</v>
      </c>
      <c r="BB23" s="125">
        <f>+BB5*8</f>
        <v>8</v>
      </c>
      <c r="BC23" s="125">
        <f>+BC5*12</f>
        <v>0</v>
      </c>
      <c r="BD23" s="125">
        <f>+BD5*8</f>
        <v>0</v>
      </c>
      <c r="BE23" s="125">
        <f t="shared" ref="BE23:BE36" si="22">SUM(BF23:BH23)</f>
        <v>0</v>
      </c>
      <c r="BF23" s="125">
        <f>+BF5*8</f>
        <v>0</v>
      </c>
      <c r="BG23" s="125">
        <f>+BG5*12</f>
        <v>0</v>
      </c>
      <c r="BH23" s="125">
        <f>+BH5*8</f>
        <v>0</v>
      </c>
      <c r="BI23" s="125">
        <f t="shared" ref="BI23:BI36" si="23">SUM(BJ23:BL23)</f>
        <v>8</v>
      </c>
      <c r="BJ23" s="125">
        <f>+BJ5*8</f>
        <v>8</v>
      </c>
      <c r="BK23" s="125">
        <f>+BK5*12</f>
        <v>0</v>
      </c>
      <c r="BL23" s="125">
        <f>+BL5*8</f>
        <v>0</v>
      </c>
      <c r="BM23" s="125">
        <f t="shared" ref="BM23:BM36" si="24">SUM(BN23:BP23)</f>
        <v>0</v>
      </c>
      <c r="BN23" s="125">
        <f>+BN5*8</f>
        <v>0</v>
      </c>
      <c r="BO23" s="125">
        <f>+BO5*12</f>
        <v>0</v>
      </c>
      <c r="BP23" s="125">
        <f>+BP5*8</f>
        <v>0</v>
      </c>
      <c r="BQ23" s="125">
        <f t="shared" ref="BQ23:BQ36" si="25">SUM(BR23:BT23)</f>
        <v>0</v>
      </c>
      <c r="BR23" s="125">
        <f>+BR5*8</f>
        <v>0</v>
      </c>
      <c r="BS23" s="125">
        <f>+BS5*12</f>
        <v>0</v>
      </c>
      <c r="BT23" s="125">
        <f>+BT5*8</f>
        <v>0</v>
      </c>
      <c r="BU23" s="125">
        <f t="shared" ref="BU23:BU36" si="26">SUM(BV23:BX23)</f>
        <v>8</v>
      </c>
      <c r="BV23" s="125">
        <f>+BV5*8</f>
        <v>8</v>
      </c>
      <c r="BW23" s="125">
        <f>+BW5*12</f>
        <v>0</v>
      </c>
      <c r="BX23" s="125">
        <f>+BX5*8</f>
        <v>0</v>
      </c>
      <c r="BY23" s="125">
        <f t="shared" ref="BY23:BY36" si="27">SUM(BZ23:CB23)</f>
        <v>8</v>
      </c>
      <c r="BZ23" s="125">
        <f>+BZ5*8</f>
        <v>8</v>
      </c>
      <c r="CA23" s="125">
        <f>+CA5*12</f>
        <v>0</v>
      </c>
      <c r="CB23" s="125">
        <f>+CB5*8</f>
        <v>0</v>
      </c>
      <c r="CC23" s="125">
        <f t="shared" ref="CC23:CC36" si="28">SUM(CD23:CF23)</f>
        <v>8</v>
      </c>
      <c r="CD23" s="125">
        <f>+CD5*8</f>
        <v>8</v>
      </c>
      <c r="CE23" s="125">
        <f>+CE5*12</f>
        <v>0</v>
      </c>
      <c r="CF23" s="125">
        <f>+CF5*8</f>
        <v>0</v>
      </c>
      <c r="CG23" s="125">
        <f t="shared" ref="CG23:CG36" si="29">SUM(CH23:CJ23)</f>
        <v>0</v>
      </c>
      <c r="CH23" s="125">
        <f>+CH5*8</f>
        <v>0</v>
      </c>
      <c r="CI23" s="125">
        <f>+CI5*12</f>
        <v>0</v>
      </c>
      <c r="CJ23" s="125">
        <f>+CJ5*8</f>
        <v>0</v>
      </c>
      <c r="CK23" s="125">
        <f t="shared" ref="CK23:CK36" si="30">SUM(CL23:CN23)</f>
        <v>0</v>
      </c>
    </row>
    <row r="24" spans="1:104" ht="13.5" customHeight="1" x14ac:dyDescent="0.2">
      <c r="B24" s="158" t="str">
        <f>+B6</f>
        <v>PRICE, Richard</v>
      </c>
      <c r="F24" s="125">
        <f>H24-H6</f>
        <v>0</v>
      </c>
      <c r="H24" s="125">
        <f>+I24+M24+Q24+U24+Y24+AC24+AG24+AK24+AO24+AS24+AW24+BA24+BE24+BM24+BI24+BQ24+BU24+BY24+CC24+CG24+CK24</f>
        <v>40</v>
      </c>
      <c r="I24" s="125">
        <f t="shared" ref="I24:I36" si="31">SUM(J24:L24)</f>
        <v>0</v>
      </c>
      <c r="J24" s="125">
        <f>+J6*8</f>
        <v>0</v>
      </c>
      <c r="K24" s="125">
        <f>+K6*12</f>
        <v>0</v>
      </c>
      <c r="L24" s="125">
        <f>+L6*8</f>
        <v>0</v>
      </c>
      <c r="M24" s="125">
        <f t="shared" si="11"/>
        <v>0</v>
      </c>
      <c r="N24" s="125">
        <f>+N6*8</f>
        <v>0</v>
      </c>
      <c r="O24" s="125">
        <f>+O6*12</f>
        <v>0</v>
      </c>
      <c r="P24" s="125">
        <f>+P6*8</f>
        <v>0</v>
      </c>
      <c r="Q24" s="125">
        <f t="shared" si="12"/>
        <v>0</v>
      </c>
      <c r="R24" s="125">
        <f>+R6*8</f>
        <v>0</v>
      </c>
      <c r="S24" s="125">
        <f>+S6*12</f>
        <v>0</v>
      </c>
      <c r="T24" s="125">
        <f>+T6*8</f>
        <v>0</v>
      </c>
      <c r="U24" s="125">
        <f t="shared" si="13"/>
        <v>0</v>
      </c>
      <c r="V24" s="125">
        <f>+V6*8</f>
        <v>0</v>
      </c>
      <c r="W24" s="125">
        <f>+W6*12</f>
        <v>0</v>
      </c>
      <c r="X24" s="125">
        <f>+X6*8</f>
        <v>0</v>
      </c>
      <c r="Y24" s="125">
        <f t="shared" si="14"/>
        <v>0</v>
      </c>
      <c r="Z24" s="125">
        <f>+Z6*8</f>
        <v>0</v>
      </c>
      <c r="AA24" s="125">
        <f>+AA6*12</f>
        <v>0</v>
      </c>
      <c r="AB24" s="125">
        <f>+AB6*8</f>
        <v>0</v>
      </c>
      <c r="AC24" s="125">
        <f t="shared" si="15"/>
        <v>0</v>
      </c>
      <c r="AD24" s="125">
        <f>+AD6*8</f>
        <v>0</v>
      </c>
      <c r="AE24" s="125">
        <f>+AE6*12</f>
        <v>0</v>
      </c>
      <c r="AF24" s="125">
        <f>+AF6*8</f>
        <v>0</v>
      </c>
      <c r="AG24" s="125">
        <f t="shared" si="16"/>
        <v>0</v>
      </c>
      <c r="AH24" s="125">
        <f>+AH6*8</f>
        <v>0</v>
      </c>
      <c r="AI24" s="125">
        <f>+AI6*12</f>
        <v>0</v>
      </c>
      <c r="AJ24" s="125">
        <f>+AJ6*8</f>
        <v>0</v>
      </c>
      <c r="AK24" s="125">
        <f t="shared" si="17"/>
        <v>0</v>
      </c>
      <c r="AL24" s="125">
        <f>+AL6*8</f>
        <v>0</v>
      </c>
      <c r="AM24" s="125">
        <f>+AM6*12</f>
        <v>0</v>
      </c>
      <c r="AN24" s="125">
        <f>+AN6*8</f>
        <v>0</v>
      </c>
      <c r="AO24" s="125">
        <f t="shared" si="18"/>
        <v>8</v>
      </c>
      <c r="AP24" s="125">
        <f>+AP6*8</f>
        <v>8</v>
      </c>
      <c r="AQ24" s="125">
        <f>+AQ6*12</f>
        <v>0</v>
      </c>
      <c r="AR24" s="125">
        <f>+AR6*8</f>
        <v>0</v>
      </c>
      <c r="AS24" s="125">
        <f t="shared" si="19"/>
        <v>0</v>
      </c>
      <c r="AT24" s="125">
        <f>+AT6*8</f>
        <v>0</v>
      </c>
      <c r="AU24" s="125">
        <f>+AU6*12</f>
        <v>0</v>
      </c>
      <c r="AV24" s="125">
        <f>+AV6*8</f>
        <v>0</v>
      </c>
      <c r="AW24" s="125">
        <f t="shared" si="20"/>
        <v>0</v>
      </c>
      <c r="AX24" s="125">
        <f>+AX6*8</f>
        <v>0</v>
      </c>
      <c r="AY24" s="125">
        <f>+AY6*12</f>
        <v>0</v>
      </c>
      <c r="AZ24" s="125">
        <f>+AZ6*8</f>
        <v>0</v>
      </c>
      <c r="BA24" s="125">
        <f t="shared" si="21"/>
        <v>0</v>
      </c>
      <c r="BB24" s="125">
        <f>+BB6*8</f>
        <v>0</v>
      </c>
      <c r="BC24" s="125">
        <f>+BC6*12</f>
        <v>0</v>
      </c>
      <c r="BD24" s="125">
        <f>+BD6*8</f>
        <v>0</v>
      </c>
      <c r="BE24" s="125">
        <f t="shared" si="22"/>
        <v>0</v>
      </c>
      <c r="BF24" s="125">
        <f>+BF6*8</f>
        <v>0</v>
      </c>
      <c r="BG24" s="125">
        <f>+BG6*12</f>
        <v>0</v>
      </c>
      <c r="BH24" s="125">
        <f>+BH6*8</f>
        <v>0</v>
      </c>
      <c r="BI24" s="125">
        <f t="shared" si="23"/>
        <v>8</v>
      </c>
      <c r="BJ24" s="125">
        <f>+BJ6*8</f>
        <v>8</v>
      </c>
      <c r="BK24" s="125">
        <f>+BK6*12</f>
        <v>0</v>
      </c>
      <c r="BL24" s="125">
        <f>+BL6*8</f>
        <v>0</v>
      </c>
      <c r="BM24" s="125">
        <f t="shared" si="24"/>
        <v>0</v>
      </c>
      <c r="BN24" s="125">
        <f>+BN6*8</f>
        <v>0</v>
      </c>
      <c r="BO24" s="125">
        <f>+BO6*12</f>
        <v>0</v>
      </c>
      <c r="BP24" s="125">
        <f>+BP6*8</f>
        <v>0</v>
      </c>
      <c r="BQ24" s="125">
        <f t="shared" si="25"/>
        <v>0</v>
      </c>
      <c r="BR24" s="125">
        <f>+BR6*8</f>
        <v>0</v>
      </c>
      <c r="BS24" s="125">
        <f>+BS6*12</f>
        <v>0</v>
      </c>
      <c r="BT24" s="125">
        <f>+BT6*8</f>
        <v>0</v>
      </c>
      <c r="BU24" s="125">
        <f t="shared" si="26"/>
        <v>16</v>
      </c>
      <c r="BV24" s="125">
        <f>+BV6*8</f>
        <v>16</v>
      </c>
      <c r="BW24" s="125">
        <f>+BW6*12</f>
        <v>0</v>
      </c>
      <c r="BX24" s="125">
        <f>+BX6*8</f>
        <v>0</v>
      </c>
      <c r="BY24" s="125">
        <f t="shared" si="27"/>
        <v>8</v>
      </c>
      <c r="BZ24" s="125">
        <f>+BZ6*8</f>
        <v>8</v>
      </c>
      <c r="CA24" s="125">
        <f>+CA6*12</f>
        <v>0</v>
      </c>
      <c r="CB24" s="125">
        <f>+CB6*8</f>
        <v>0</v>
      </c>
      <c r="CC24" s="125">
        <f t="shared" si="28"/>
        <v>0</v>
      </c>
      <c r="CD24" s="125">
        <f>+CD6*8</f>
        <v>0</v>
      </c>
      <c r="CE24" s="125">
        <f>+CE6*12</f>
        <v>0</v>
      </c>
      <c r="CF24" s="125">
        <f>+CF6*8</f>
        <v>0</v>
      </c>
      <c r="CG24" s="125">
        <f t="shared" si="29"/>
        <v>0</v>
      </c>
      <c r="CH24" s="125">
        <f>+CH6*8</f>
        <v>0</v>
      </c>
      <c r="CI24" s="125">
        <f>+CI6*12</f>
        <v>0</v>
      </c>
      <c r="CJ24" s="125">
        <f>+CJ6*8</f>
        <v>0</v>
      </c>
      <c r="CK24" s="125">
        <f t="shared" si="30"/>
        <v>0</v>
      </c>
    </row>
    <row r="25" spans="1:104" ht="13.5" customHeight="1" x14ac:dyDescent="0.2">
      <c r="B25" s="158" t="str">
        <f>+B8</f>
        <v>SPARROW, Luke</v>
      </c>
      <c r="F25" s="125">
        <f>H25-H8</f>
        <v>0</v>
      </c>
      <c r="H25" s="125">
        <f t="shared" ref="H25:H36" si="32">+I25+M25+Q25+U25+Y25+AC25+AG25+AK25+AO25+AS25+AW25+BA25+BE25+BM25+BI25+BQ25+BU25+BY25+CC25+CG25+CK25</f>
        <v>32</v>
      </c>
      <c r="I25" s="125">
        <f t="shared" si="31"/>
        <v>0</v>
      </c>
      <c r="J25" s="125">
        <f>+J8*8</f>
        <v>0</v>
      </c>
      <c r="K25" s="125">
        <f>+K8*12</f>
        <v>0</v>
      </c>
      <c r="L25" s="125">
        <f>+L8*8</f>
        <v>0</v>
      </c>
      <c r="M25" s="125">
        <f t="shared" si="11"/>
        <v>0</v>
      </c>
      <c r="N25" s="125">
        <f>+N8*8</f>
        <v>0</v>
      </c>
      <c r="O25" s="125">
        <f>+O8*12</f>
        <v>0</v>
      </c>
      <c r="P25" s="125">
        <f>+P8*8</f>
        <v>0</v>
      </c>
      <c r="Q25" s="125">
        <f t="shared" si="12"/>
        <v>0</v>
      </c>
      <c r="R25" s="125">
        <f>+R8*8</f>
        <v>0</v>
      </c>
      <c r="S25" s="125">
        <f>+S8*12</f>
        <v>0</v>
      </c>
      <c r="T25" s="125">
        <f>+T8*8</f>
        <v>0</v>
      </c>
      <c r="U25" s="125">
        <f t="shared" si="13"/>
        <v>8</v>
      </c>
      <c r="V25" s="125">
        <f>+V8*8</f>
        <v>8</v>
      </c>
      <c r="W25" s="125">
        <f>+W8*12</f>
        <v>0</v>
      </c>
      <c r="X25" s="125">
        <f>+X8*8</f>
        <v>0</v>
      </c>
      <c r="Y25" s="125">
        <f t="shared" si="14"/>
        <v>0</v>
      </c>
      <c r="Z25" s="125">
        <f>+Z8*8</f>
        <v>0</v>
      </c>
      <c r="AA25" s="125">
        <f>+AA8*12</f>
        <v>0</v>
      </c>
      <c r="AB25" s="125">
        <f>+AB8*8</f>
        <v>0</v>
      </c>
      <c r="AC25" s="125">
        <f t="shared" si="15"/>
        <v>0</v>
      </c>
      <c r="AD25" s="125">
        <f>+AD8*8</f>
        <v>0</v>
      </c>
      <c r="AE25" s="125">
        <f>+AE8*12</f>
        <v>0</v>
      </c>
      <c r="AF25" s="125">
        <f>+AF8*8</f>
        <v>0</v>
      </c>
      <c r="AG25" s="125">
        <f t="shared" si="16"/>
        <v>0</v>
      </c>
      <c r="AH25" s="125">
        <f>+AH8*8</f>
        <v>0</v>
      </c>
      <c r="AI25" s="125">
        <f>+AI8*12</f>
        <v>0</v>
      </c>
      <c r="AJ25" s="125">
        <f>+AJ8*8</f>
        <v>0</v>
      </c>
      <c r="AK25" s="125">
        <f t="shared" si="17"/>
        <v>8</v>
      </c>
      <c r="AL25" s="125">
        <f>+AL8*8</f>
        <v>8</v>
      </c>
      <c r="AM25" s="125">
        <f>+AM8*12</f>
        <v>0</v>
      </c>
      <c r="AN25" s="125">
        <f>+AN8*8</f>
        <v>0</v>
      </c>
      <c r="AO25" s="125">
        <f t="shared" si="18"/>
        <v>0</v>
      </c>
      <c r="AP25" s="125">
        <f>+AP8*8</f>
        <v>0</v>
      </c>
      <c r="AQ25" s="125">
        <f>+AQ8*12</f>
        <v>0</v>
      </c>
      <c r="AR25" s="125">
        <f>+AR8*8</f>
        <v>0</v>
      </c>
      <c r="AS25" s="125">
        <f t="shared" si="19"/>
        <v>0</v>
      </c>
      <c r="AT25" s="125">
        <f>+AT8*8</f>
        <v>0</v>
      </c>
      <c r="AU25" s="125">
        <f>+AU8*12</f>
        <v>0</v>
      </c>
      <c r="AV25" s="125">
        <f>+AV8*8</f>
        <v>0</v>
      </c>
      <c r="AW25" s="125">
        <f t="shared" si="20"/>
        <v>0</v>
      </c>
      <c r="AX25" s="125">
        <f>+AX8*8</f>
        <v>0</v>
      </c>
      <c r="AY25" s="125">
        <f>+AY8*12</f>
        <v>0</v>
      </c>
      <c r="AZ25" s="125">
        <f>+AZ8*8</f>
        <v>0</v>
      </c>
      <c r="BA25" s="125">
        <f t="shared" si="21"/>
        <v>0</v>
      </c>
      <c r="BB25" s="125">
        <f>+BB8*8</f>
        <v>0</v>
      </c>
      <c r="BC25" s="125">
        <f>+BC8*12</f>
        <v>0</v>
      </c>
      <c r="BD25" s="125">
        <f>+BD8*8</f>
        <v>0</v>
      </c>
      <c r="BE25" s="125">
        <f t="shared" si="22"/>
        <v>0</v>
      </c>
      <c r="BF25" s="125">
        <f>+BF8*8</f>
        <v>0</v>
      </c>
      <c r="BG25" s="125">
        <f>+BG8*12</f>
        <v>0</v>
      </c>
      <c r="BH25" s="125">
        <f>+BH8*8</f>
        <v>0</v>
      </c>
      <c r="BI25" s="125">
        <f t="shared" si="23"/>
        <v>0</v>
      </c>
      <c r="BJ25" s="125">
        <f>+BJ8*8</f>
        <v>0</v>
      </c>
      <c r="BK25" s="125">
        <f>+BK8*12</f>
        <v>0</v>
      </c>
      <c r="BL25" s="125">
        <f>+BL8*8</f>
        <v>0</v>
      </c>
      <c r="BM25" s="125">
        <f t="shared" si="24"/>
        <v>0</v>
      </c>
      <c r="BN25" s="125">
        <f>+BN8*8</f>
        <v>0</v>
      </c>
      <c r="BO25" s="125">
        <f>+BO8*12</f>
        <v>0</v>
      </c>
      <c r="BP25" s="125">
        <f>+BP8*8</f>
        <v>0</v>
      </c>
      <c r="BQ25" s="125">
        <f t="shared" si="25"/>
        <v>16</v>
      </c>
      <c r="BR25" s="125">
        <f>+BR8*8</f>
        <v>16</v>
      </c>
      <c r="BS25" s="125">
        <f>+BS8*12</f>
        <v>0</v>
      </c>
      <c r="BT25" s="125">
        <f>+BT8*8</f>
        <v>0</v>
      </c>
      <c r="BU25" s="125">
        <f t="shared" si="26"/>
        <v>0</v>
      </c>
      <c r="BV25" s="125">
        <f>+BV8*8</f>
        <v>0</v>
      </c>
      <c r="BW25" s="125">
        <f>+BW8*12</f>
        <v>0</v>
      </c>
      <c r="BX25" s="125">
        <f>+BX8*8</f>
        <v>0</v>
      </c>
      <c r="BY25" s="125">
        <f t="shared" si="27"/>
        <v>0</v>
      </c>
      <c r="BZ25" s="125">
        <f>+BZ8*8</f>
        <v>0</v>
      </c>
      <c r="CA25" s="125">
        <f>+CA8*12</f>
        <v>0</v>
      </c>
      <c r="CB25" s="125">
        <f>+CB8*8</f>
        <v>0</v>
      </c>
      <c r="CC25" s="125">
        <f t="shared" si="28"/>
        <v>0</v>
      </c>
      <c r="CD25" s="125">
        <f>+CD8*8</f>
        <v>0</v>
      </c>
      <c r="CE25" s="125">
        <f>+CE8*12</f>
        <v>0</v>
      </c>
      <c r="CF25" s="125">
        <f>+CF8*8</f>
        <v>0</v>
      </c>
      <c r="CG25" s="125">
        <f t="shared" si="29"/>
        <v>0</v>
      </c>
      <c r="CH25" s="125">
        <f>+CH8*8</f>
        <v>0</v>
      </c>
      <c r="CI25" s="125">
        <f>+CI8*12</f>
        <v>0</v>
      </c>
      <c r="CJ25" s="125">
        <f>+CJ8*8</f>
        <v>0</v>
      </c>
      <c r="CK25" s="125">
        <f t="shared" si="30"/>
        <v>0</v>
      </c>
    </row>
    <row r="26" spans="1:104" ht="13.5" customHeight="1" x14ac:dyDescent="0.2">
      <c r="B26" s="158" t="str">
        <f>+B7</f>
        <v>STYLES, Ryan</v>
      </c>
      <c r="F26" s="125">
        <f>H26-H7</f>
        <v>0</v>
      </c>
      <c r="H26" s="125">
        <f t="shared" si="32"/>
        <v>40</v>
      </c>
      <c r="I26" s="125">
        <f t="shared" si="31"/>
        <v>0</v>
      </c>
      <c r="J26" s="125">
        <f>+J7*8</f>
        <v>0</v>
      </c>
      <c r="K26" s="125">
        <f>+K7*12</f>
        <v>0</v>
      </c>
      <c r="L26" s="125">
        <f>+L7*8</f>
        <v>0</v>
      </c>
      <c r="M26" s="125">
        <f t="shared" si="11"/>
        <v>0</v>
      </c>
      <c r="N26" s="125">
        <f>+N7*8</f>
        <v>0</v>
      </c>
      <c r="O26" s="125">
        <f>+O7*12</f>
        <v>0</v>
      </c>
      <c r="P26" s="125">
        <f>+P7*8</f>
        <v>0</v>
      </c>
      <c r="Q26" s="125">
        <f t="shared" si="12"/>
        <v>8</v>
      </c>
      <c r="R26" s="125">
        <f>+R7*8</f>
        <v>0</v>
      </c>
      <c r="S26" s="125">
        <f>+S7*12</f>
        <v>0</v>
      </c>
      <c r="T26" s="125">
        <f>+T7*8</f>
        <v>8</v>
      </c>
      <c r="U26" s="125">
        <f t="shared" si="13"/>
        <v>0</v>
      </c>
      <c r="V26" s="125">
        <f>+V7*8</f>
        <v>0</v>
      </c>
      <c r="W26" s="125">
        <f>+W7*12</f>
        <v>0</v>
      </c>
      <c r="X26" s="125">
        <f>+X7*8</f>
        <v>0</v>
      </c>
      <c r="Y26" s="125">
        <f t="shared" si="14"/>
        <v>0</v>
      </c>
      <c r="Z26" s="125">
        <f>+Z7*8</f>
        <v>0</v>
      </c>
      <c r="AA26" s="125">
        <f>+AA7*12</f>
        <v>0</v>
      </c>
      <c r="AB26" s="125">
        <f>+AB7*8</f>
        <v>0</v>
      </c>
      <c r="AC26" s="125">
        <f t="shared" si="15"/>
        <v>0</v>
      </c>
      <c r="AD26" s="125">
        <f>+AD7*8</f>
        <v>0</v>
      </c>
      <c r="AE26" s="125">
        <f>+AE7*12</f>
        <v>0</v>
      </c>
      <c r="AF26" s="125">
        <f>+AF7*8</f>
        <v>0</v>
      </c>
      <c r="AG26" s="125">
        <f t="shared" si="16"/>
        <v>0</v>
      </c>
      <c r="AH26" s="125">
        <f>+AH7*8</f>
        <v>0</v>
      </c>
      <c r="AI26" s="125">
        <f>+AI7*12</f>
        <v>0</v>
      </c>
      <c r="AJ26" s="125">
        <f>+AJ7*8</f>
        <v>0</v>
      </c>
      <c r="AK26" s="125">
        <f t="shared" si="17"/>
        <v>0</v>
      </c>
      <c r="AL26" s="125">
        <f>+AL7*8</f>
        <v>0</v>
      </c>
      <c r="AM26" s="125">
        <f>+AM7*12</f>
        <v>0</v>
      </c>
      <c r="AN26" s="125">
        <f>+AN7*8</f>
        <v>0</v>
      </c>
      <c r="AO26" s="125">
        <f t="shared" si="18"/>
        <v>0</v>
      </c>
      <c r="AP26" s="125">
        <f>+AP7*8</f>
        <v>0</v>
      </c>
      <c r="AQ26" s="125">
        <f>+AQ7*12</f>
        <v>0</v>
      </c>
      <c r="AR26" s="125">
        <f>+AR7*8</f>
        <v>0</v>
      </c>
      <c r="AS26" s="125">
        <f t="shared" si="19"/>
        <v>0</v>
      </c>
      <c r="AT26" s="125">
        <f>+AT7*8</f>
        <v>0</v>
      </c>
      <c r="AU26" s="125">
        <f>+AU7*12</f>
        <v>0</v>
      </c>
      <c r="AV26" s="125">
        <f>+AV7*8</f>
        <v>0</v>
      </c>
      <c r="AW26" s="125">
        <f t="shared" si="20"/>
        <v>0</v>
      </c>
      <c r="AX26" s="125">
        <f>+AX7*8</f>
        <v>0</v>
      </c>
      <c r="AY26" s="125">
        <f>+AY7*12</f>
        <v>0</v>
      </c>
      <c r="AZ26" s="125">
        <f>+AZ7*8</f>
        <v>0</v>
      </c>
      <c r="BA26" s="125">
        <f t="shared" si="21"/>
        <v>8</v>
      </c>
      <c r="BB26" s="125">
        <f>+BB7*8</f>
        <v>8</v>
      </c>
      <c r="BC26" s="125">
        <f>+BC7*12</f>
        <v>0</v>
      </c>
      <c r="BD26" s="125">
        <f>+BD7*8</f>
        <v>0</v>
      </c>
      <c r="BE26" s="125">
        <f t="shared" si="22"/>
        <v>0</v>
      </c>
      <c r="BF26" s="125">
        <f>+BF7*8</f>
        <v>0</v>
      </c>
      <c r="BG26" s="125">
        <f>+BG7*12</f>
        <v>0</v>
      </c>
      <c r="BH26" s="125">
        <f>+BH7*8</f>
        <v>0</v>
      </c>
      <c r="BI26" s="125">
        <f t="shared" si="23"/>
        <v>0</v>
      </c>
      <c r="BJ26" s="125">
        <f>+BJ7*8</f>
        <v>0</v>
      </c>
      <c r="BK26" s="125">
        <f>+BK7*12</f>
        <v>0</v>
      </c>
      <c r="BL26" s="125">
        <f>+BL7*8</f>
        <v>0</v>
      </c>
      <c r="BM26" s="125">
        <f t="shared" si="24"/>
        <v>0</v>
      </c>
      <c r="BN26" s="125">
        <f>+BN7*8</f>
        <v>0</v>
      </c>
      <c r="BO26" s="125">
        <f>+BO7*12</f>
        <v>0</v>
      </c>
      <c r="BP26" s="125">
        <f>+BP7*8</f>
        <v>0</v>
      </c>
      <c r="BQ26" s="125">
        <f t="shared" si="25"/>
        <v>0</v>
      </c>
      <c r="BR26" s="125">
        <f>+BR7*8</f>
        <v>0</v>
      </c>
      <c r="BS26" s="125">
        <f>+BS7*12</f>
        <v>0</v>
      </c>
      <c r="BT26" s="125">
        <f>+BT7*8</f>
        <v>0</v>
      </c>
      <c r="BU26" s="125">
        <f t="shared" si="26"/>
        <v>16</v>
      </c>
      <c r="BV26" s="125">
        <f>+BV7*8</f>
        <v>16</v>
      </c>
      <c r="BW26" s="125">
        <f>+BW7*12</f>
        <v>0</v>
      </c>
      <c r="BX26" s="125">
        <f>+BX7*8</f>
        <v>0</v>
      </c>
      <c r="BY26" s="125">
        <f t="shared" si="27"/>
        <v>8</v>
      </c>
      <c r="BZ26" s="125">
        <f>+BZ7*8</f>
        <v>8</v>
      </c>
      <c r="CA26" s="125">
        <f>+CA7*12</f>
        <v>0</v>
      </c>
      <c r="CB26" s="125">
        <f>+CB7*8</f>
        <v>0</v>
      </c>
      <c r="CC26" s="125">
        <f t="shared" si="28"/>
        <v>0</v>
      </c>
      <c r="CD26" s="125">
        <f>+CD7*8</f>
        <v>0</v>
      </c>
      <c r="CE26" s="125">
        <f>+CE7*12</f>
        <v>0</v>
      </c>
      <c r="CF26" s="125">
        <f>+CF7*8</f>
        <v>0</v>
      </c>
      <c r="CG26" s="125">
        <f t="shared" si="29"/>
        <v>0</v>
      </c>
      <c r="CH26" s="125">
        <f>+CH7*8</f>
        <v>0</v>
      </c>
      <c r="CI26" s="125">
        <f>+CI7*12</f>
        <v>0</v>
      </c>
      <c r="CJ26" s="125">
        <f>+CJ7*8</f>
        <v>0</v>
      </c>
      <c r="CK26" s="125">
        <f t="shared" si="30"/>
        <v>0</v>
      </c>
    </row>
    <row r="27" spans="1:104" ht="13.5" customHeight="1" x14ac:dyDescent="0.2">
      <c r="B27" s="158" t="str">
        <f>+B9</f>
        <v>BALOCH, Ali</v>
      </c>
      <c r="F27" s="125">
        <f>H27-H9</f>
        <v>0</v>
      </c>
      <c r="H27" s="125">
        <f t="shared" si="32"/>
        <v>24</v>
      </c>
      <c r="I27" s="125">
        <f t="shared" si="31"/>
        <v>0</v>
      </c>
      <c r="J27" s="125">
        <f>+J9*8</f>
        <v>0</v>
      </c>
      <c r="K27" s="125">
        <f>+K9*12</f>
        <v>0</v>
      </c>
      <c r="L27" s="125">
        <f>+L9*8</f>
        <v>0</v>
      </c>
      <c r="M27" s="125">
        <f t="shared" si="11"/>
        <v>0</v>
      </c>
      <c r="N27" s="125">
        <f>+N9*8</f>
        <v>0</v>
      </c>
      <c r="O27" s="125">
        <f>+O9*12</f>
        <v>0</v>
      </c>
      <c r="P27" s="125">
        <f>+P9*8</f>
        <v>0</v>
      </c>
      <c r="Q27" s="125">
        <f t="shared" si="12"/>
        <v>0</v>
      </c>
      <c r="R27" s="125">
        <f>+R9*8</f>
        <v>0</v>
      </c>
      <c r="S27" s="125">
        <f>+S9*12</f>
        <v>0</v>
      </c>
      <c r="T27" s="125">
        <f>+T9*8</f>
        <v>0</v>
      </c>
      <c r="U27" s="125">
        <f t="shared" si="13"/>
        <v>0</v>
      </c>
      <c r="V27" s="125">
        <f>+V9*8</f>
        <v>0</v>
      </c>
      <c r="W27" s="125">
        <f>+W9*12</f>
        <v>0</v>
      </c>
      <c r="X27" s="125">
        <f>+X9*8</f>
        <v>0</v>
      </c>
      <c r="Y27" s="125">
        <f t="shared" si="14"/>
        <v>0</v>
      </c>
      <c r="Z27" s="125">
        <f>+Z9*8</f>
        <v>0</v>
      </c>
      <c r="AA27" s="125">
        <f>+AA9*12</f>
        <v>0</v>
      </c>
      <c r="AB27" s="125">
        <f>+AB9*8</f>
        <v>0</v>
      </c>
      <c r="AC27" s="125">
        <f t="shared" si="15"/>
        <v>0</v>
      </c>
      <c r="AD27" s="125">
        <f>+AD9*8</f>
        <v>0</v>
      </c>
      <c r="AE27" s="125">
        <f>+AE9*12</f>
        <v>0</v>
      </c>
      <c r="AF27" s="125">
        <f>+AF9*8</f>
        <v>0</v>
      </c>
      <c r="AG27" s="125">
        <f t="shared" si="16"/>
        <v>0</v>
      </c>
      <c r="AH27" s="125">
        <f>+AH9*8</f>
        <v>0</v>
      </c>
      <c r="AI27" s="125">
        <f>+AI9*12</f>
        <v>0</v>
      </c>
      <c r="AJ27" s="125">
        <f>+AJ9*8</f>
        <v>0</v>
      </c>
      <c r="AK27" s="125">
        <f t="shared" si="17"/>
        <v>0</v>
      </c>
      <c r="AL27" s="125">
        <f>+AL9*8</f>
        <v>0</v>
      </c>
      <c r="AM27" s="125">
        <f>+AM9*12</f>
        <v>0</v>
      </c>
      <c r="AN27" s="125">
        <f>+AN9*8</f>
        <v>0</v>
      </c>
      <c r="AO27" s="125">
        <f t="shared" si="18"/>
        <v>0</v>
      </c>
      <c r="AP27" s="125">
        <f>+AP9*8</f>
        <v>0</v>
      </c>
      <c r="AQ27" s="125">
        <f>+AQ9*12</f>
        <v>0</v>
      </c>
      <c r="AR27" s="125">
        <f>+AR9*8</f>
        <v>0</v>
      </c>
      <c r="AS27" s="125">
        <f t="shared" si="19"/>
        <v>16</v>
      </c>
      <c r="AT27" s="125">
        <f>+AT9*8</f>
        <v>16</v>
      </c>
      <c r="AU27" s="125">
        <f>+AU9*12</f>
        <v>0</v>
      </c>
      <c r="AV27" s="125">
        <f>+AV9*8</f>
        <v>0</v>
      </c>
      <c r="AW27" s="125">
        <f t="shared" si="20"/>
        <v>0</v>
      </c>
      <c r="AX27" s="125">
        <f>+AX9*8</f>
        <v>0</v>
      </c>
      <c r="AY27" s="125">
        <f>+AY9*12</f>
        <v>0</v>
      </c>
      <c r="AZ27" s="125">
        <f>+AZ9*8</f>
        <v>0</v>
      </c>
      <c r="BA27" s="125">
        <f t="shared" si="21"/>
        <v>0</v>
      </c>
      <c r="BB27" s="125">
        <f>+BB9*8</f>
        <v>0</v>
      </c>
      <c r="BC27" s="125">
        <f>+BC9*12</f>
        <v>0</v>
      </c>
      <c r="BD27" s="125">
        <f>+BD9*8</f>
        <v>0</v>
      </c>
      <c r="BE27" s="125">
        <f t="shared" si="22"/>
        <v>0</v>
      </c>
      <c r="BF27" s="125">
        <f>+BF9*8</f>
        <v>0</v>
      </c>
      <c r="BG27" s="125">
        <f>+BG9*12</f>
        <v>0</v>
      </c>
      <c r="BH27" s="125">
        <f>+BH9*8</f>
        <v>0</v>
      </c>
      <c r="BI27" s="125">
        <f t="shared" si="23"/>
        <v>0</v>
      </c>
      <c r="BJ27" s="125">
        <f>+BJ9*8</f>
        <v>0</v>
      </c>
      <c r="BK27" s="125">
        <f>+BK9*12</f>
        <v>0</v>
      </c>
      <c r="BL27" s="125">
        <f>+BL9*8</f>
        <v>0</v>
      </c>
      <c r="BM27" s="125">
        <f t="shared" si="24"/>
        <v>0</v>
      </c>
      <c r="BN27" s="125">
        <f>+BN9*8</f>
        <v>0</v>
      </c>
      <c r="BO27" s="125">
        <f>+BO9*12</f>
        <v>0</v>
      </c>
      <c r="BP27" s="125">
        <f>+BP9*8</f>
        <v>0</v>
      </c>
      <c r="BQ27" s="125">
        <f t="shared" si="25"/>
        <v>0</v>
      </c>
      <c r="BR27" s="125">
        <f>+BR9*8</f>
        <v>0</v>
      </c>
      <c r="BS27" s="125">
        <f>+BS9*12</f>
        <v>0</v>
      </c>
      <c r="BT27" s="125">
        <f>+BT9*8</f>
        <v>0</v>
      </c>
      <c r="BU27" s="125">
        <f t="shared" si="26"/>
        <v>8</v>
      </c>
      <c r="BV27" s="125">
        <f>+BV9*8</f>
        <v>8</v>
      </c>
      <c r="BW27" s="125">
        <f>+BW9*12</f>
        <v>0</v>
      </c>
      <c r="BX27" s="125">
        <f>+BX9*8</f>
        <v>0</v>
      </c>
      <c r="BY27" s="125">
        <f t="shared" si="27"/>
        <v>0</v>
      </c>
      <c r="BZ27" s="125">
        <f>+BZ9*8</f>
        <v>0</v>
      </c>
      <c r="CA27" s="125">
        <f>+CA9*12</f>
        <v>0</v>
      </c>
      <c r="CB27" s="125">
        <f>+CB9*8</f>
        <v>0</v>
      </c>
      <c r="CC27" s="125">
        <f t="shared" si="28"/>
        <v>0</v>
      </c>
      <c r="CD27" s="125">
        <f>+CD9*8</f>
        <v>0</v>
      </c>
      <c r="CE27" s="125">
        <f>+CE9*12</f>
        <v>0</v>
      </c>
      <c r="CF27" s="125">
        <f>+CF9*8</f>
        <v>0</v>
      </c>
      <c r="CG27" s="125">
        <f t="shared" si="29"/>
        <v>0</v>
      </c>
      <c r="CH27" s="125">
        <f>+CH9*8</f>
        <v>0</v>
      </c>
      <c r="CI27" s="125">
        <f>+CI9*12</f>
        <v>0</v>
      </c>
      <c r="CJ27" s="125">
        <f>+CJ9*8</f>
        <v>0</v>
      </c>
      <c r="CK27" s="125">
        <f t="shared" si="30"/>
        <v>0</v>
      </c>
    </row>
    <row r="28" spans="1:104" ht="13.5" customHeight="1" x14ac:dyDescent="0.2">
      <c r="B28" s="158" t="str">
        <f>+B10</f>
        <v>NIAZ, Bilal</v>
      </c>
      <c r="F28" s="125">
        <f>H28-H10</f>
        <v>0</v>
      </c>
      <c r="H28" s="125">
        <f t="shared" si="32"/>
        <v>24</v>
      </c>
      <c r="I28" s="125">
        <f t="shared" si="31"/>
        <v>0</v>
      </c>
      <c r="J28" s="125">
        <f>+J10*8</f>
        <v>0</v>
      </c>
      <c r="K28" s="125">
        <f>+K10*12</f>
        <v>0</v>
      </c>
      <c r="L28" s="125">
        <f>+L10*8</f>
        <v>0</v>
      </c>
      <c r="M28" s="125">
        <f t="shared" si="11"/>
        <v>0</v>
      </c>
      <c r="N28" s="125">
        <f>+N10*8</f>
        <v>0</v>
      </c>
      <c r="O28" s="125">
        <f>+O10*12</f>
        <v>0</v>
      </c>
      <c r="P28" s="125">
        <f>+P10*8</f>
        <v>0</v>
      </c>
      <c r="Q28" s="125">
        <f t="shared" si="12"/>
        <v>0</v>
      </c>
      <c r="R28" s="125">
        <f>+R10*8</f>
        <v>0</v>
      </c>
      <c r="S28" s="125">
        <f>+S10*12</f>
        <v>0</v>
      </c>
      <c r="T28" s="125">
        <f>+T10*8</f>
        <v>0</v>
      </c>
      <c r="U28" s="125">
        <f t="shared" si="13"/>
        <v>0</v>
      </c>
      <c r="V28" s="125">
        <f>+V10*8</f>
        <v>0</v>
      </c>
      <c r="W28" s="125">
        <f>+W10*12</f>
        <v>0</v>
      </c>
      <c r="X28" s="125">
        <f>+X10*8</f>
        <v>0</v>
      </c>
      <c r="Y28" s="125">
        <f t="shared" si="14"/>
        <v>0</v>
      </c>
      <c r="Z28" s="125">
        <f>+Z10*8</f>
        <v>0</v>
      </c>
      <c r="AA28" s="125">
        <f>+AA10*12</f>
        <v>0</v>
      </c>
      <c r="AB28" s="125">
        <f>+AB10*8</f>
        <v>0</v>
      </c>
      <c r="AC28" s="125">
        <f t="shared" si="15"/>
        <v>0</v>
      </c>
      <c r="AD28" s="125">
        <f>+AD10*8</f>
        <v>0</v>
      </c>
      <c r="AE28" s="125">
        <f>+AE10*12</f>
        <v>0</v>
      </c>
      <c r="AF28" s="125">
        <f>+AF10*8</f>
        <v>0</v>
      </c>
      <c r="AG28" s="125">
        <f t="shared" si="16"/>
        <v>0</v>
      </c>
      <c r="AH28" s="125">
        <f>+AH10*8</f>
        <v>0</v>
      </c>
      <c r="AI28" s="125">
        <f>+AI10*12</f>
        <v>0</v>
      </c>
      <c r="AJ28" s="125">
        <f>+AJ10*8</f>
        <v>0</v>
      </c>
      <c r="AK28" s="125">
        <f t="shared" si="17"/>
        <v>0</v>
      </c>
      <c r="AL28" s="125">
        <f>+AL10*8</f>
        <v>0</v>
      </c>
      <c r="AM28" s="125">
        <f>+AM10*12</f>
        <v>0</v>
      </c>
      <c r="AN28" s="125">
        <f>+AN10*8</f>
        <v>0</v>
      </c>
      <c r="AO28" s="125">
        <f t="shared" si="18"/>
        <v>0</v>
      </c>
      <c r="AP28" s="125">
        <f>+AP10*8</f>
        <v>0</v>
      </c>
      <c r="AQ28" s="125">
        <f>+AQ10*12</f>
        <v>0</v>
      </c>
      <c r="AR28" s="125">
        <f>+AR10*8</f>
        <v>0</v>
      </c>
      <c r="AS28" s="125">
        <f t="shared" si="19"/>
        <v>0</v>
      </c>
      <c r="AT28" s="125">
        <f>+AT10*8</f>
        <v>0</v>
      </c>
      <c r="AU28" s="125">
        <f>+AU10*12</f>
        <v>0</v>
      </c>
      <c r="AV28" s="125">
        <f>+AV10*8</f>
        <v>0</v>
      </c>
      <c r="AW28" s="125">
        <f t="shared" si="20"/>
        <v>0</v>
      </c>
      <c r="AX28" s="125">
        <f>+AX10*8</f>
        <v>0</v>
      </c>
      <c r="AY28" s="125">
        <f>+AY10*12</f>
        <v>0</v>
      </c>
      <c r="AZ28" s="125">
        <f>+AZ10*8</f>
        <v>0</v>
      </c>
      <c r="BA28" s="125">
        <f t="shared" si="21"/>
        <v>16</v>
      </c>
      <c r="BB28" s="125">
        <f>+BB10*8</f>
        <v>16</v>
      </c>
      <c r="BC28" s="125">
        <f>+BC10*12</f>
        <v>0</v>
      </c>
      <c r="BD28" s="125">
        <f>+BD10*8</f>
        <v>0</v>
      </c>
      <c r="BE28" s="125">
        <f t="shared" si="22"/>
        <v>0</v>
      </c>
      <c r="BF28" s="125">
        <f>+BF10*8</f>
        <v>0</v>
      </c>
      <c r="BG28" s="125">
        <f>+BG10*12</f>
        <v>0</v>
      </c>
      <c r="BH28" s="125">
        <f>+BH10*8</f>
        <v>0</v>
      </c>
      <c r="BI28" s="125">
        <f t="shared" si="23"/>
        <v>0</v>
      </c>
      <c r="BJ28" s="125">
        <f>+BJ10*8</f>
        <v>0</v>
      </c>
      <c r="BK28" s="125">
        <f>+BK10*12</f>
        <v>0</v>
      </c>
      <c r="BL28" s="125">
        <f>+BL10*8</f>
        <v>0</v>
      </c>
      <c r="BM28" s="125">
        <f t="shared" si="24"/>
        <v>0</v>
      </c>
      <c r="BN28" s="125">
        <f>+BN10*8</f>
        <v>0</v>
      </c>
      <c r="BO28" s="125">
        <f>+BO10*12</f>
        <v>0</v>
      </c>
      <c r="BP28" s="125">
        <f>+BP10*8</f>
        <v>0</v>
      </c>
      <c r="BQ28" s="125">
        <f t="shared" si="25"/>
        <v>0</v>
      </c>
      <c r="BR28" s="125">
        <f>+BR10*8</f>
        <v>0</v>
      </c>
      <c r="BS28" s="125">
        <f>+BS10*12</f>
        <v>0</v>
      </c>
      <c r="BT28" s="125">
        <f>+BT10*8</f>
        <v>0</v>
      </c>
      <c r="BU28" s="125">
        <f t="shared" si="26"/>
        <v>8</v>
      </c>
      <c r="BV28" s="125">
        <f>+BV10*8</f>
        <v>8</v>
      </c>
      <c r="BW28" s="125">
        <f>+BW10*12</f>
        <v>0</v>
      </c>
      <c r="BX28" s="125">
        <f>+BX10*8</f>
        <v>0</v>
      </c>
      <c r="BY28" s="125">
        <f t="shared" si="27"/>
        <v>0</v>
      </c>
      <c r="BZ28" s="125">
        <f>+BZ10*8</f>
        <v>0</v>
      </c>
      <c r="CA28" s="125">
        <f>+CA10*12</f>
        <v>0</v>
      </c>
      <c r="CB28" s="125">
        <f>+CB10*8</f>
        <v>0</v>
      </c>
      <c r="CC28" s="125">
        <f t="shared" si="28"/>
        <v>0</v>
      </c>
      <c r="CD28" s="125">
        <f>+CD10*8</f>
        <v>0</v>
      </c>
      <c r="CE28" s="125">
        <f>+CE10*12</f>
        <v>0</v>
      </c>
      <c r="CF28" s="125">
        <f>+CF10*8</f>
        <v>0</v>
      </c>
      <c r="CG28" s="125">
        <f t="shared" si="29"/>
        <v>0</v>
      </c>
      <c r="CH28" s="125">
        <f>+CH10*8</f>
        <v>0</v>
      </c>
      <c r="CI28" s="125">
        <f>+CI10*12</f>
        <v>0</v>
      </c>
      <c r="CJ28" s="125">
        <f>+CJ10*8</f>
        <v>0</v>
      </c>
      <c r="CK28" s="125">
        <f t="shared" si="30"/>
        <v>0</v>
      </c>
    </row>
    <row r="29" spans="1:104" ht="13.5" customHeight="1" x14ac:dyDescent="0.2">
      <c r="B29" s="158" t="str">
        <f>+B11</f>
        <v>McLOGHLIN, Mick</v>
      </c>
      <c r="F29" s="125">
        <f>H29-H11</f>
        <v>0</v>
      </c>
      <c r="H29" s="125">
        <f t="shared" si="32"/>
        <v>16</v>
      </c>
      <c r="I29" s="125">
        <f t="shared" si="31"/>
        <v>0</v>
      </c>
      <c r="J29" s="125">
        <f>+J11*8</f>
        <v>0</v>
      </c>
      <c r="K29" s="125">
        <f>+K11*12</f>
        <v>0</v>
      </c>
      <c r="L29" s="125">
        <f>+L11*8</f>
        <v>0</v>
      </c>
      <c r="M29" s="125">
        <f t="shared" si="11"/>
        <v>0</v>
      </c>
      <c r="N29" s="125">
        <f>+N11*8</f>
        <v>0</v>
      </c>
      <c r="O29" s="125">
        <f>+O11*12</f>
        <v>0</v>
      </c>
      <c r="P29" s="125">
        <f>+P11*8</f>
        <v>0</v>
      </c>
      <c r="Q29" s="125">
        <f t="shared" si="12"/>
        <v>0</v>
      </c>
      <c r="R29" s="125">
        <f>+R11*8</f>
        <v>0</v>
      </c>
      <c r="S29" s="125">
        <f>+S11*12</f>
        <v>0</v>
      </c>
      <c r="T29" s="125">
        <f>+T11*8</f>
        <v>0</v>
      </c>
      <c r="U29" s="125">
        <f t="shared" si="13"/>
        <v>0</v>
      </c>
      <c r="V29" s="125">
        <f>+V11*8</f>
        <v>0</v>
      </c>
      <c r="W29" s="125">
        <f>+W11*12</f>
        <v>0</v>
      </c>
      <c r="X29" s="125">
        <f>+X11*8</f>
        <v>0</v>
      </c>
      <c r="Y29" s="125">
        <f t="shared" si="14"/>
        <v>8</v>
      </c>
      <c r="Z29" s="125">
        <f>+Z11*8</f>
        <v>8</v>
      </c>
      <c r="AA29" s="125">
        <f>+AA11*12</f>
        <v>0</v>
      </c>
      <c r="AB29" s="125">
        <f>+AB11*8</f>
        <v>0</v>
      </c>
      <c r="AC29" s="125">
        <f t="shared" si="15"/>
        <v>0</v>
      </c>
      <c r="AD29" s="125">
        <f>+AD11*8</f>
        <v>0</v>
      </c>
      <c r="AE29" s="125">
        <f>+AE11*12</f>
        <v>0</v>
      </c>
      <c r="AF29" s="125">
        <f>+AF11*8</f>
        <v>0</v>
      </c>
      <c r="AG29" s="125">
        <f t="shared" si="16"/>
        <v>8</v>
      </c>
      <c r="AH29" s="125">
        <f>+AH11*8</f>
        <v>8</v>
      </c>
      <c r="AI29" s="125">
        <f>+AI11*12</f>
        <v>0</v>
      </c>
      <c r="AJ29" s="125">
        <f>+AJ11*8</f>
        <v>0</v>
      </c>
      <c r="AK29" s="125">
        <f t="shared" si="17"/>
        <v>0</v>
      </c>
      <c r="AL29" s="125">
        <f>+AL11*8</f>
        <v>0</v>
      </c>
      <c r="AM29" s="125">
        <f>+AM11*12</f>
        <v>0</v>
      </c>
      <c r="AN29" s="125">
        <f>+AN11*8</f>
        <v>0</v>
      </c>
      <c r="AO29" s="125">
        <f t="shared" si="18"/>
        <v>0</v>
      </c>
      <c r="AP29" s="125">
        <f>+AP11*8</f>
        <v>0</v>
      </c>
      <c r="AQ29" s="125">
        <f>+AQ11*12</f>
        <v>0</v>
      </c>
      <c r="AR29" s="125">
        <f>+AR11*8</f>
        <v>0</v>
      </c>
      <c r="AS29" s="125">
        <f t="shared" si="19"/>
        <v>0</v>
      </c>
      <c r="AT29" s="125">
        <f>+AT11*8</f>
        <v>0</v>
      </c>
      <c r="AU29" s="125">
        <f>+AU11*12</f>
        <v>0</v>
      </c>
      <c r="AV29" s="125">
        <f>+AV11*8</f>
        <v>0</v>
      </c>
      <c r="AW29" s="125">
        <f t="shared" si="20"/>
        <v>0</v>
      </c>
      <c r="AX29" s="125">
        <f>+AX11*8</f>
        <v>0</v>
      </c>
      <c r="AY29" s="125">
        <f>+AY11*12</f>
        <v>0</v>
      </c>
      <c r="AZ29" s="125">
        <f>+AZ11*8</f>
        <v>0</v>
      </c>
      <c r="BA29" s="125">
        <f t="shared" si="21"/>
        <v>0</v>
      </c>
      <c r="BB29" s="125">
        <f>+BB11*8</f>
        <v>0</v>
      </c>
      <c r="BC29" s="125">
        <f>+BC11*12</f>
        <v>0</v>
      </c>
      <c r="BD29" s="125">
        <f>+BD11*8</f>
        <v>0</v>
      </c>
      <c r="BE29" s="125">
        <f t="shared" si="22"/>
        <v>0</v>
      </c>
      <c r="BF29" s="125">
        <f>+BF11*8</f>
        <v>0</v>
      </c>
      <c r="BG29" s="125">
        <f>+BG11*12</f>
        <v>0</v>
      </c>
      <c r="BH29" s="125">
        <f>+BH11*8</f>
        <v>0</v>
      </c>
      <c r="BI29" s="125">
        <f t="shared" si="23"/>
        <v>0</v>
      </c>
      <c r="BJ29" s="125">
        <f>+BJ11*8</f>
        <v>0</v>
      </c>
      <c r="BK29" s="125">
        <f>+BK11*12</f>
        <v>0</v>
      </c>
      <c r="BL29" s="125">
        <f>+BL11*8</f>
        <v>0</v>
      </c>
      <c r="BM29" s="125">
        <f t="shared" si="24"/>
        <v>0</v>
      </c>
      <c r="BN29" s="125">
        <f>+BN11*8</f>
        <v>0</v>
      </c>
      <c r="BO29" s="125">
        <f>+BO11*12</f>
        <v>0</v>
      </c>
      <c r="BP29" s="125">
        <f>+BP11*8</f>
        <v>0</v>
      </c>
      <c r="BQ29" s="125">
        <f t="shared" si="25"/>
        <v>0</v>
      </c>
      <c r="BR29" s="125">
        <f>+BR11*8</f>
        <v>0</v>
      </c>
      <c r="BS29" s="125">
        <f>+BS11*12</f>
        <v>0</v>
      </c>
      <c r="BT29" s="125">
        <f>+BT11*8</f>
        <v>0</v>
      </c>
      <c r="BU29" s="125">
        <f t="shared" si="26"/>
        <v>0</v>
      </c>
      <c r="BV29" s="125">
        <f>+BV11*8</f>
        <v>0</v>
      </c>
      <c r="BW29" s="125">
        <f>+BW11*12</f>
        <v>0</v>
      </c>
      <c r="BX29" s="125">
        <f>+BX11*8</f>
        <v>0</v>
      </c>
      <c r="BY29" s="125">
        <f t="shared" si="27"/>
        <v>0</v>
      </c>
      <c r="BZ29" s="125">
        <f>+BZ11*8</f>
        <v>0</v>
      </c>
      <c r="CA29" s="125">
        <f>+CA11*12</f>
        <v>0</v>
      </c>
      <c r="CB29" s="125">
        <f>+CB11*8</f>
        <v>0</v>
      </c>
      <c r="CC29" s="125">
        <f t="shared" si="28"/>
        <v>0</v>
      </c>
      <c r="CD29" s="125">
        <f>+CD11*8</f>
        <v>0</v>
      </c>
      <c r="CE29" s="125">
        <f>+CE11*12</f>
        <v>0</v>
      </c>
      <c r="CF29" s="125">
        <f>+CF11*8</f>
        <v>0</v>
      </c>
      <c r="CG29" s="125">
        <f t="shared" si="29"/>
        <v>0</v>
      </c>
      <c r="CH29" s="125">
        <f>+CH11*8</f>
        <v>0</v>
      </c>
      <c r="CI29" s="125">
        <f>+CI11*12</f>
        <v>0</v>
      </c>
      <c r="CJ29" s="125">
        <f>+CJ11*8</f>
        <v>0</v>
      </c>
      <c r="CK29" s="125">
        <f t="shared" si="30"/>
        <v>0</v>
      </c>
    </row>
    <row r="30" spans="1:104" ht="13.5" customHeight="1" x14ac:dyDescent="0.2">
      <c r="B30" s="158" t="str">
        <f>+B12</f>
        <v>TAMBLING, Damian</v>
      </c>
      <c r="F30" s="125">
        <f>H30-H12</f>
        <v>0</v>
      </c>
      <c r="H30" s="125">
        <f t="shared" si="32"/>
        <v>16</v>
      </c>
      <c r="I30" s="125">
        <f t="shared" si="31"/>
        <v>0</v>
      </c>
      <c r="J30" s="125">
        <f>+J12*8</f>
        <v>0</v>
      </c>
      <c r="K30" s="125">
        <f>+K12*12</f>
        <v>0</v>
      </c>
      <c r="L30" s="125">
        <f>+L12*8</f>
        <v>0</v>
      </c>
      <c r="M30" s="125">
        <f t="shared" si="11"/>
        <v>0</v>
      </c>
      <c r="N30" s="125">
        <f>+N12*8</f>
        <v>0</v>
      </c>
      <c r="O30" s="125">
        <f>+O12*12</f>
        <v>0</v>
      </c>
      <c r="P30" s="125">
        <f>+P12*8</f>
        <v>0</v>
      </c>
      <c r="Q30" s="125">
        <f t="shared" si="12"/>
        <v>0</v>
      </c>
      <c r="R30" s="125">
        <f>+R12*8</f>
        <v>0</v>
      </c>
      <c r="S30" s="125">
        <f>+S12*12</f>
        <v>0</v>
      </c>
      <c r="T30" s="125">
        <f>+T12*8</f>
        <v>0</v>
      </c>
      <c r="U30" s="125">
        <f t="shared" si="13"/>
        <v>0</v>
      </c>
      <c r="V30" s="125">
        <f>+V12*8</f>
        <v>0</v>
      </c>
      <c r="W30" s="125">
        <f>+W12*12</f>
        <v>0</v>
      </c>
      <c r="X30" s="125">
        <f>+X12*8</f>
        <v>0</v>
      </c>
      <c r="Y30" s="125">
        <f t="shared" si="14"/>
        <v>0</v>
      </c>
      <c r="Z30" s="125">
        <f>+Z12*8</f>
        <v>0</v>
      </c>
      <c r="AA30" s="125">
        <f>+AA12*12</f>
        <v>0</v>
      </c>
      <c r="AB30" s="125">
        <f>+AB12*8</f>
        <v>0</v>
      </c>
      <c r="AC30" s="125">
        <f t="shared" si="15"/>
        <v>0</v>
      </c>
      <c r="AD30" s="125">
        <f>+AD12*8</f>
        <v>0</v>
      </c>
      <c r="AE30" s="125">
        <f>+AE12*12</f>
        <v>0</v>
      </c>
      <c r="AF30" s="125">
        <f>+AF12*8</f>
        <v>0</v>
      </c>
      <c r="AG30" s="125">
        <f t="shared" si="16"/>
        <v>0</v>
      </c>
      <c r="AH30" s="125">
        <f>+AH12*8</f>
        <v>0</v>
      </c>
      <c r="AI30" s="125">
        <f>+AI12*12</f>
        <v>0</v>
      </c>
      <c r="AJ30" s="125">
        <f>+AJ12*8</f>
        <v>0</v>
      </c>
      <c r="AK30" s="125">
        <f t="shared" si="17"/>
        <v>0</v>
      </c>
      <c r="AL30" s="125">
        <f>+AL12*8</f>
        <v>0</v>
      </c>
      <c r="AM30" s="125">
        <f>+AM12*12</f>
        <v>0</v>
      </c>
      <c r="AN30" s="125">
        <f>+AN12*8</f>
        <v>0</v>
      </c>
      <c r="AO30" s="125">
        <f t="shared" si="18"/>
        <v>0</v>
      </c>
      <c r="AP30" s="125">
        <f>+AP12*8</f>
        <v>0</v>
      </c>
      <c r="AQ30" s="125">
        <f>+AQ12*12</f>
        <v>0</v>
      </c>
      <c r="AR30" s="125">
        <f>+AR12*8</f>
        <v>0</v>
      </c>
      <c r="AS30" s="125">
        <f t="shared" si="19"/>
        <v>16</v>
      </c>
      <c r="AT30" s="125">
        <f>+AT12*8</f>
        <v>16</v>
      </c>
      <c r="AU30" s="125">
        <f>+AU12*12</f>
        <v>0</v>
      </c>
      <c r="AV30" s="125">
        <f>+AV12*8</f>
        <v>0</v>
      </c>
      <c r="AW30" s="125">
        <f t="shared" si="20"/>
        <v>0</v>
      </c>
      <c r="AX30" s="125">
        <f>+AX12*8</f>
        <v>0</v>
      </c>
      <c r="AY30" s="125">
        <f>+AY12*12</f>
        <v>0</v>
      </c>
      <c r="AZ30" s="125">
        <f>+AZ12*8</f>
        <v>0</v>
      </c>
      <c r="BA30" s="125">
        <f t="shared" si="21"/>
        <v>0</v>
      </c>
      <c r="BB30" s="125">
        <f>+BB12*8</f>
        <v>0</v>
      </c>
      <c r="BC30" s="125">
        <f>+BC12*12</f>
        <v>0</v>
      </c>
      <c r="BD30" s="125">
        <f>+BD12*8</f>
        <v>0</v>
      </c>
      <c r="BE30" s="125">
        <f t="shared" si="22"/>
        <v>0</v>
      </c>
      <c r="BF30" s="125">
        <f>+BF12*8</f>
        <v>0</v>
      </c>
      <c r="BG30" s="125">
        <f>+BG12*12</f>
        <v>0</v>
      </c>
      <c r="BH30" s="125">
        <f>+BH12*8</f>
        <v>0</v>
      </c>
      <c r="BI30" s="125">
        <f t="shared" si="23"/>
        <v>0</v>
      </c>
      <c r="BJ30" s="125">
        <f>+BJ12*8</f>
        <v>0</v>
      </c>
      <c r="BK30" s="125">
        <f>+BK12*12</f>
        <v>0</v>
      </c>
      <c r="BL30" s="125">
        <f>+BL12*8</f>
        <v>0</v>
      </c>
      <c r="BM30" s="125">
        <f t="shared" si="24"/>
        <v>0</v>
      </c>
      <c r="BN30" s="125">
        <f>+BN12*8</f>
        <v>0</v>
      </c>
      <c r="BO30" s="125">
        <f>+BO12*12</f>
        <v>0</v>
      </c>
      <c r="BP30" s="125">
        <f>+BP12*8</f>
        <v>0</v>
      </c>
      <c r="BQ30" s="125">
        <f t="shared" si="25"/>
        <v>0</v>
      </c>
      <c r="BR30" s="125">
        <f>+BR12*8</f>
        <v>0</v>
      </c>
      <c r="BS30" s="125">
        <f>+BS12*12</f>
        <v>0</v>
      </c>
      <c r="BT30" s="125">
        <f>+BT12*8</f>
        <v>0</v>
      </c>
      <c r="BU30" s="125">
        <f t="shared" si="26"/>
        <v>0</v>
      </c>
      <c r="BV30" s="125">
        <f>+BV12*8</f>
        <v>0</v>
      </c>
      <c r="BW30" s="125">
        <f>+BW12*12</f>
        <v>0</v>
      </c>
      <c r="BX30" s="125">
        <f>+BX12*8</f>
        <v>0</v>
      </c>
      <c r="BY30" s="125">
        <f t="shared" si="27"/>
        <v>0</v>
      </c>
      <c r="BZ30" s="125">
        <f>+BZ12*8</f>
        <v>0</v>
      </c>
      <c r="CA30" s="125">
        <f>+CA12*12</f>
        <v>0</v>
      </c>
      <c r="CB30" s="125">
        <f>+CB12*8</f>
        <v>0</v>
      </c>
      <c r="CC30" s="125">
        <f t="shared" si="28"/>
        <v>0</v>
      </c>
      <c r="CD30" s="125">
        <f>+CD12*8</f>
        <v>0</v>
      </c>
      <c r="CE30" s="125">
        <f>+CE12*12</f>
        <v>0</v>
      </c>
      <c r="CF30" s="125">
        <f>+CF12*8</f>
        <v>0</v>
      </c>
      <c r="CG30" s="125">
        <f t="shared" si="29"/>
        <v>0</v>
      </c>
      <c r="CH30" s="125">
        <f>+CH12*8</f>
        <v>0</v>
      </c>
      <c r="CI30" s="125">
        <f>+CI12*12</f>
        <v>0</v>
      </c>
      <c r="CJ30" s="125">
        <f>+CJ12*8</f>
        <v>0</v>
      </c>
      <c r="CK30" s="125">
        <f t="shared" si="30"/>
        <v>0</v>
      </c>
    </row>
    <row r="31" spans="1:104" ht="13.5" customHeight="1" x14ac:dyDescent="0.2">
      <c r="B31" s="158" t="str">
        <f t="shared" ref="B31:B36" si="33">+B15</f>
        <v>CULLEY, James</v>
      </c>
      <c r="F31" s="125">
        <f t="shared" ref="F31:F36" si="34">H31-H15</f>
        <v>0</v>
      </c>
      <c r="H31" s="125">
        <f t="shared" si="32"/>
        <v>8</v>
      </c>
      <c r="I31" s="125">
        <f t="shared" si="31"/>
        <v>0</v>
      </c>
      <c r="J31" s="125">
        <f t="shared" ref="J31:J36" si="35">+J15*8</f>
        <v>0</v>
      </c>
      <c r="K31" s="125">
        <f t="shared" ref="K31:K36" si="36">+K15*12</f>
        <v>0</v>
      </c>
      <c r="L31" s="125">
        <f t="shared" ref="L31:L36" si="37">+L15*8</f>
        <v>0</v>
      </c>
      <c r="M31" s="125">
        <f t="shared" si="11"/>
        <v>0</v>
      </c>
      <c r="N31" s="125">
        <f t="shared" ref="N31:AP36" si="38">+N15*8</f>
        <v>0</v>
      </c>
      <c r="O31" s="125">
        <f t="shared" ref="O31:AQ36" si="39">+O15*12</f>
        <v>0</v>
      </c>
      <c r="P31" s="125">
        <f t="shared" ref="P31:AR36" si="40">+P15*8</f>
        <v>0</v>
      </c>
      <c r="Q31" s="125">
        <f t="shared" si="12"/>
        <v>0</v>
      </c>
      <c r="R31" s="125">
        <f t="shared" si="38"/>
        <v>0</v>
      </c>
      <c r="S31" s="125">
        <f t="shared" si="39"/>
        <v>0</v>
      </c>
      <c r="T31" s="125">
        <f t="shared" si="40"/>
        <v>0</v>
      </c>
      <c r="U31" s="125">
        <f t="shared" si="13"/>
        <v>0</v>
      </c>
      <c r="V31" s="125">
        <f t="shared" si="38"/>
        <v>0</v>
      </c>
      <c r="W31" s="125">
        <f t="shared" si="39"/>
        <v>0</v>
      </c>
      <c r="X31" s="125">
        <f t="shared" si="40"/>
        <v>0</v>
      </c>
      <c r="Y31" s="125">
        <f t="shared" si="14"/>
        <v>0</v>
      </c>
      <c r="Z31" s="125">
        <f t="shared" si="38"/>
        <v>0</v>
      </c>
      <c r="AA31" s="125">
        <f t="shared" si="39"/>
        <v>0</v>
      </c>
      <c r="AB31" s="125">
        <f t="shared" si="40"/>
        <v>0</v>
      </c>
      <c r="AC31" s="125">
        <f t="shared" si="15"/>
        <v>0</v>
      </c>
      <c r="AD31" s="125">
        <f t="shared" si="38"/>
        <v>0</v>
      </c>
      <c r="AE31" s="125">
        <f t="shared" si="39"/>
        <v>0</v>
      </c>
      <c r="AF31" s="125">
        <f t="shared" si="40"/>
        <v>0</v>
      </c>
      <c r="AG31" s="125">
        <f t="shared" si="16"/>
        <v>0</v>
      </c>
      <c r="AH31" s="125">
        <f t="shared" si="38"/>
        <v>0</v>
      </c>
      <c r="AI31" s="125">
        <f t="shared" si="39"/>
        <v>0</v>
      </c>
      <c r="AJ31" s="125">
        <f t="shared" si="40"/>
        <v>0</v>
      </c>
      <c r="AK31" s="125">
        <f t="shared" si="17"/>
        <v>0</v>
      </c>
      <c r="AL31" s="125">
        <f t="shared" si="38"/>
        <v>0</v>
      </c>
      <c r="AM31" s="125">
        <f t="shared" si="39"/>
        <v>0</v>
      </c>
      <c r="AN31" s="125">
        <f t="shared" si="40"/>
        <v>0</v>
      </c>
      <c r="AO31" s="125">
        <f t="shared" si="18"/>
        <v>8</v>
      </c>
      <c r="AP31" s="125">
        <f t="shared" si="38"/>
        <v>8</v>
      </c>
      <c r="AQ31" s="125">
        <f t="shared" si="39"/>
        <v>0</v>
      </c>
      <c r="AR31" s="125">
        <f t="shared" si="40"/>
        <v>0</v>
      </c>
      <c r="AS31" s="125">
        <f t="shared" si="19"/>
        <v>0</v>
      </c>
      <c r="AT31" s="125">
        <f t="shared" ref="AT31:CH36" si="41">+AT15*8</f>
        <v>0</v>
      </c>
      <c r="AU31" s="125">
        <f t="shared" ref="AU31:CI36" si="42">+AU15*12</f>
        <v>0</v>
      </c>
      <c r="AV31" s="125">
        <f t="shared" ref="AV31:CJ36" si="43">+AV15*8</f>
        <v>0</v>
      </c>
      <c r="AW31" s="125">
        <f t="shared" si="20"/>
        <v>0</v>
      </c>
      <c r="AX31" s="125">
        <f t="shared" si="41"/>
        <v>0</v>
      </c>
      <c r="AY31" s="125">
        <f t="shared" si="42"/>
        <v>0</v>
      </c>
      <c r="AZ31" s="125">
        <f t="shared" si="43"/>
        <v>0</v>
      </c>
      <c r="BA31" s="125">
        <f t="shared" si="21"/>
        <v>0</v>
      </c>
      <c r="BB31" s="125">
        <f t="shared" si="41"/>
        <v>0</v>
      </c>
      <c r="BC31" s="125">
        <f t="shared" si="42"/>
        <v>0</v>
      </c>
      <c r="BD31" s="125">
        <f t="shared" si="43"/>
        <v>0</v>
      </c>
      <c r="BE31" s="125">
        <f t="shared" si="22"/>
        <v>0</v>
      </c>
      <c r="BF31" s="125">
        <f t="shared" si="41"/>
        <v>0</v>
      </c>
      <c r="BG31" s="125">
        <f t="shared" si="42"/>
        <v>0</v>
      </c>
      <c r="BH31" s="125">
        <f t="shared" si="43"/>
        <v>0</v>
      </c>
      <c r="BI31" s="125">
        <f t="shared" si="23"/>
        <v>0</v>
      </c>
      <c r="BJ31" s="125">
        <f t="shared" si="41"/>
        <v>0</v>
      </c>
      <c r="BK31" s="125">
        <f t="shared" si="42"/>
        <v>0</v>
      </c>
      <c r="BL31" s="125">
        <f t="shared" si="43"/>
        <v>0</v>
      </c>
      <c r="BM31" s="125">
        <f t="shared" si="24"/>
        <v>0</v>
      </c>
      <c r="BN31" s="125">
        <f t="shared" si="41"/>
        <v>0</v>
      </c>
      <c r="BO31" s="125">
        <f t="shared" si="42"/>
        <v>0</v>
      </c>
      <c r="BP31" s="125">
        <f t="shared" si="43"/>
        <v>0</v>
      </c>
      <c r="BQ31" s="125">
        <f t="shared" si="25"/>
        <v>0</v>
      </c>
      <c r="BR31" s="125">
        <f t="shared" si="41"/>
        <v>0</v>
      </c>
      <c r="BS31" s="125">
        <f t="shared" si="42"/>
        <v>0</v>
      </c>
      <c r="BT31" s="125">
        <f t="shared" si="43"/>
        <v>0</v>
      </c>
      <c r="BU31" s="125">
        <f t="shared" si="26"/>
        <v>0</v>
      </c>
      <c r="BV31" s="125">
        <f t="shared" si="41"/>
        <v>0</v>
      </c>
      <c r="BW31" s="125">
        <f t="shared" si="42"/>
        <v>0</v>
      </c>
      <c r="BX31" s="125">
        <f t="shared" si="43"/>
        <v>0</v>
      </c>
      <c r="BY31" s="125">
        <f t="shared" si="27"/>
        <v>0</v>
      </c>
      <c r="BZ31" s="125">
        <f t="shared" si="41"/>
        <v>0</v>
      </c>
      <c r="CA31" s="125">
        <f t="shared" si="42"/>
        <v>0</v>
      </c>
      <c r="CB31" s="125">
        <f t="shared" si="43"/>
        <v>0</v>
      </c>
      <c r="CC31" s="125">
        <f t="shared" si="28"/>
        <v>0</v>
      </c>
      <c r="CD31" s="125">
        <f t="shared" si="41"/>
        <v>0</v>
      </c>
      <c r="CE31" s="125">
        <f t="shared" si="42"/>
        <v>0</v>
      </c>
      <c r="CF31" s="125">
        <f t="shared" si="43"/>
        <v>0</v>
      </c>
      <c r="CG31" s="125">
        <f t="shared" si="29"/>
        <v>0</v>
      </c>
      <c r="CH31" s="125">
        <f t="shared" si="41"/>
        <v>0</v>
      </c>
      <c r="CI31" s="125">
        <f t="shared" si="42"/>
        <v>0</v>
      </c>
      <c r="CJ31" s="125">
        <f t="shared" si="43"/>
        <v>0</v>
      </c>
      <c r="CK31" s="125">
        <f t="shared" si="30"/>
        <v>0</v>
      </c>
    </row>
    <row r="32" spans="1:104" ht="13.5" customHeight="1" x14ac:dyDescent="0.2">
      <c r="B32" s="158" t="str">
        <f t="shared" si="33"/>
        <v>DALE, Colin</v>
      </c>
      <c r="F32" s="125">
        <f t="shared" si="34"/>
        <v>0</v>
      </c>
      <c r="H32" s="125">
        <f t="shared" si="32"/>
        <v>8</v>
      </c>
      <c r="I32" s="125">
        <f t="shared" si="31"/>
        <v>0</v>
      </c>
      <c r="J32" s="125">
        <f t="shared" si="35"/>
        <v>0</v>
      </c>
      <c r="K32" s="125">
        <f t="shared" si="36"/>
        <v>0</v>
      </c>
      <c r="L32" s="125">
        <f t="shared" si="37"/>
        <v>0</v>
      </c>
      <c r="M32" s="125">
        <f t="shared" si="11"/>
        <v>0</v>
      </c>
      <c r="N32" s="125">
        <f t="shared" si="38"/>
        <v>0</v>
      </c>
      <c r="O32" s="125">
        <f t="shared" si="39"/>
        <v>0</v>
      </c>
      <c r="P32" s="125">
        <f t="shared" si="40"/>
        <v>0</v>
      </c>
      <c r="Q32" s="125">
        <f t="shared" si="12"/>
        <v>0</v>
      </c>
      <c r="R32" s="125">
        <f t="shared" si="38"/>
        <v>0</v>
      </c>
      <c r="S32" s="125">
        <f t="shared" si="39"/>
        <v>0</v>
      </c>
      <c r="T32" s="125">
        <f t="shared" si="40"/>
        <v>0</v>
      </c>
      <c r="U32" s="125">
        <f t="shared" si="13"/>
        <v>0</v>
      </c>
      <c r="V32" s="125">
        <f t="shared" si="38"/>
        <v>0</v>
      </c>
      <c r="W32" s="125">
        <f t="shared" si="39"/>
        <v>0</v>
      </c>
      <c r="X32" s="125">
        <f t="shared" si="40"/>
        <v>0</v>
      </c>
      <c r="Y32" s="125">
        <f t="shared" si="14"/>
        <v>0</v>
      </c>
      <c r="Z32" s="125">
        <f t="shared" si="38"/>
        <v>0</v>
      </c>
      <c r="AA32" s="125">
        <f t="shared" si="39"/>
        <v>0</v>
      </c>
      <c r="AB32" s="125">
        <f t="shared" si="40"/>
        <v>0</v>
      </c>
      <c r="AC32" s="125">
        <f t="shared" si="15"/>
        <v>0</v>
      </c>
      <c r="AD32" s="125">
        <f t="shared" si="38"/>
        <v>0</v>
      </c>
      <c r="AE32" s="125">
        <f t="shared" si="39"/>
        <v>0</v>
      </c>
      <c r="AF32" s="125">
        <f t="shared" si="40"/>
        <v>0</v>
      </c>
      <c r="AG32" s="125">
        <f t="shared" si="16"/>
        <v>0</v>
      </c>
      <c r="AH32" s="125">
        <f t="shared" si="38"/>
        <v>0</v>
      </c>
      <c r="AI32" s="125">
        <f t="shared" si="39"/>
        <v>0</v>
      </c>
      <c r="AJ32" s="125">
        <f t="shared" si="40"/>
        <v>0</v>
      </c>
      <c r="AK32" s="125">
        <f t="shared" si="17"/>
        <v>0</v>
      </c>
      <c r="AL32" s="125">
        <f t="shared" si="38"/>
        <v>0</v>
      </c>
      <c r="AM32" s="125">
        <f t="shared" si="39"/>
        <v>0</v>
      </c>
      <c r="AN32" s="125">
        <f t="shared" si="40"/>
        <v>0</v>
      </c>
      <c r="AO32" s="125">
        <f t="shared" si="18"/>
        <v>8</v>
      </c>
      <c r="AP32" s="125">
        <f t="shared" si="38"/>
        <v>8</v>
      </c>
      <c r="AQ32" s="125">
        <f t="shared" si="39"/>
        <v>0</v>
      </c>
      <c r="AR32" s="125">
        <f t="shared" si="40"/>
        <v>0</v>
      </c>
      <c r="AS32" s="125">
        <f t="shared" si="19"/>
        <v>0</v>
      </c>
      <c r="AT32" s="125">
        <f t="shared" si="41"/>
        <v>0</v>
      </c>
      <c r="AU32" s="125">
        <f t="shared" si="42"/>
        <v>0</v>
      </c>
      <c r="AV32" s="125">
        <f t="shared" si="43"/>
        <v>0</v>
      </c>
      <c r="AW32" s="125">
        <f t="shared" si="20"/>
        <v>0</v>
      </c>
      <c r="AX32" s="125">
        <f t="shared" si="41"/>
        <v>0</v>
      </c>
      <c r="AY32" s="125">
        <f t="shared" si="42"/>
        <v>0</v>
      </c>
      <c r="AZ32" s="125">
        <f t="shared" si="43"/>
        <v>0</v>
      </c>
      <c r="BA32" s="125">
        <f t="shared" si="21"/>
        <v>0</v>
      </c>
      <c r="BB32" s="125">
        <f t="shared" si="41"/>
        <v>0</v>
      </c>
      <c r="BC32" s="125">
        <f t="shared" si="42"/>
        <v>0</v>
      </c>
      <c r="BD32" s="125">
        <f t="shared" si="43"/>
        <v>0</v>
      </c>
      <c r="BE32" s="125">
        <f t="shared" si="22"/>
        <v>0</v>
      </c>
      <c r="BF32" s="125">
        <f t="shared" si="41"/>
        <v>0</v>
      </c>
      <c r="BG32" s="125">
        <f t="shared" si="42"/>
        <v>0</v>
      </c>
      <c r="BH32" s="125">
        <f t="shared" si="43"/>
        <v>0</v>
      </c>
      <c r="BI32" s="125">
        <f t="shared" si="23"/>
        <v>0</v>
      </c>
      <c r="BJ32" s="125">
        <f t="shared" si="41"/>
        <v>0</v>
      </c>
      <c r="BK32" s="125">
        <f t="shared" si="42"/>
        <v>0</v>
      </c>
      <c r="BL32" s="125">
        <f t="shared" si="43"/>
        <v>0</v>
      </c>
      <c r="BM32" s="125">
        <f t="shared" si="24"/>
        <v>0</v>
      </c>
      <c r="BN32" s="125">
        <f t="shared" si="41"/>
        <v>0</v>
      </c>
      <c r="BO32" s="125">
        <f t="shared" si="42"/>
        <v>0</v>
      </c>
      <c r="BP32" s="125">
        <f t="shared" si="43"/>
        <v>0</v>
      </c>
      <c r="BQ32" s="125">
        <f t="shared" si="25"/>
        <v>0</v>
      </c>
      <c r="BR32" s="125">
        <f t="shared" si="41"/>
        <v>0</v>
      </c>
      <c r="BS32" s="125">
        <f t="shared" si="42"/>
        <v>0</v>
      </c>
      <c r="BT32" s="125">
        <f t="shared" si="43"/>
        <v>0</v>
      </c>
      <c r="BU32" s="125">
        <f t="shared" si="26"/>
        <v>0</v>
      </c>
      <c r="BV32" s="125">
        <f t="shared" si="41"/>
        <v>0</v>
      </c>
      <c r="BW32" s="125">
        <f t="shared" si="42"/>
        <v>0</v>
      </c>
      <c r="BX32" s="125">
        <f t="shared" si="43"/>
        <v>0</v>
      </c>
      <c r="BY32" s="125">
        <f t="shared" si="27"/>
        <v>0</v>
      </c>
      <c r="BZ32" s="125">
        <f t="shared" si="41"/>
        <v>0</v>
      </c>
      <c r="CA32" s="125">
        <f t="shared" si="42"/>
        <v>0</v>
      </c>
      <c r="CB32" s="125">
        <f t="shared" si="43"/>
        <v>0</v>
      </c>
      <c r="CC32" s="125">
        <f t="shared" si="28"/>
        <v>0</v>
      </c>
      <c r="CD32" s="125">
        <f t="shared" si="41"/>
        <v>0</v>
      </c>
      <c r="CE32" s="125">
        <f t="shared" si="42"/>
        <v>0</v>
      </c>
      <c r="CF32" s="125">
        <f t="shared" si="43"/>
        <v>0</v>
      </c>
      <c r="CG32" s="125">
        <f t="shared" si="29"/>
        <v>0</v>
      </c>
      <c r="CH32" s="125">
        <f t="shared" si="41"/>
        <v>0</v>
      </c>
      <c r="CI32" s="125">
        <f t="shared" si="42"/>
        <v>0</v>
      </c>
      <c r="CJ32" s="125">
        <f t="shared" si="43"/>
        <v>0</v>
      </c>
      <c r="CK32" s="125">
        <f t="shared" si="30"/>
        <v>0</v>
      </c>
    </row>
    <row r="33" spans="2:89" ht="13.5" customHeight="1" x14ac:dyDescent="0.2">
      <c r="B33" s="158" t="str">
        <f t="shared" si="33"/>
        <v>HARDY, Tim</v>
      </c>
      <c r="F33" s="125">
        <f t="shared" si="34"/>
        <v>0</v>
      </c>
      <c r="H33" s="125">
        <f t="shared" si="32"/>
        <v>8</v>
      </c>
      <c r="I33" s="125">
        <f t="shared" si="31"/>
        <v>0</v>
      </c>
      <c r="J33" s="125">
        <f t="shared" si="35"/>
        <v>0</v>
      </c>
      <c r="K33" s="125">
        <f t="shared" si="36"/>
        <v>0</v>
      </c>
      <c r="L33" s="125">
        <f t="shared" si="37"/>
        <v>0</v>
      </c>
      <c r="M33" s="125">
        <f t="shared" si="11"/>
        <v>0</v>
      </c>
      <c r="N33" s="125">
        <f t="shared" si="38"/>
        <v>0</v>
      </c>
      <c r="O33" s="125">
        <f t="shared" si="39"/>
        <v>0</v>
      </c>
      <c r="P33" s="125">
        <f t="shared" si="40"/>
        <v>0</v>
      </c>
      <c r="Q33" s="125">
        <f t="shared" si="12"/>
        <v>0</v>
      </c>
      <c r="R33" s="125">
        <f t="shared" si="38"/>
        <v>0</v>
      </c>
      <c r="S33" s="125">
        <f t="shared" si="39"/>
        <v>0</v>
      </c>
      <c r="T33" s="125">
        <f t="shared" si="40"/>
        <v>0</v>
      </c>
      <c r="U33" s="125">
        <f t="shared" si="13"/>
        <v>0</v>
      </c>
      <c r="V33" s="125">
        <f t="shared" si="38"/>
        <v>0</v>
      </c>
      <c r="W33" s="125">
        <f t="shared" si="39"/>
        <v>0</v>
      </c>
      <c r="X33" s="125">
        <f t="shared" si="40"/>
        <v>0</v>
      </c>
      <c r="Y33" s="125">
        <f t="shared" si="14"/>
        <v>0</v>
      </c>
      <c r="Z33" s="125">
        <f t="shared" si="38"/>
        <v>0</v>
      </c>
      <c r="AA33" s="125">
        <f t="shared" si="39"/>
        <v>0</v>
      </c>
      <c r="AB33" s="125">
        <f t="shared" si="40"/>
        <v>0</v>
      </c>
      <c r="AC33" s="125">
        <f t="shared" si="15"/>
        <v>0</v>
      </c>
      <c r="AD33" s="125">
        <f t="shared" si="38"/>
        <v>0</v>
      </c>
      <c r="AE33" s="125">
        <f t="shared" si="39"/>
        <v>0</v>
      </c>
      <c r="AF33" s="125">
        <f t="shared" si="40"/>
        <v>0</v>
      </c>
      <c r="AG33" s="125">
        <f t="shared" si="16"/>
        <v>0</v>
      </c>
      <c r="AH33" s="125">
        <f t="shared" si="38"/>
        <v>0</v>
      </c>
      <c r="AI33" s="125">
        <f t="shared" si="39"/>
        <v>0</v>
      </c>
      <c r="AJ33" s="125">
        <f t="shared" si="40"/>
        <v>0</v>
      </c>
      <c r="AK33" s="125">
        <f t="shared" si="17"/>
        <v>0</v>
      </c>
      <c r="AL33" s="125">
        <f t="shared" si="38"/>
        <v>0</v>
      </c>
      <c r="AM33" s="125">
        <f t="shared" si="39"/>
        <v>0</v>
      </c>
      <c r="AN33" s="125">
        <f t="shared" si="40"/>
        <v>0</v>
      </c>
      <c r="AO33" s="125">
        <f t="shared" si="18"/>
        <v>0</v>
      </c>
      <c r="AP33" s="125">
        <f t="shared" si="38"/>
        <v>0</v>
      </c>
      <c r="AQ33" s="125">
        <f t="shared" si="39"/>
        <v>0</v>
      </c>
      <c r="AR33" s="125">
        <f t="shared" si="40"/>
        <v>0</v>
      </c>
      <c r="AS33" s="125">
        <f t="shared" si="19"/>
        <v>0</v>
      </c>
      <c r="AT33" s="125">
        <f t="shared" si="41"/>
        <v>0</v>
      </c>
      <c r="AU33" s="125">
        <f t="shared" si="42"/>
        <v>0</v>
      </c>
      <c r="AV33" s="125">
        <f t="shared" si="43"/>
        <v>0</v>
      </c>
      <c r="AW33" s="125">
        <f t="shared" si="20"/>
        <v>0</v>
      </c>
      <c r="AX33" s="125">
        <f t="shared" si="41"/>
        <v>0</v>
      </c>
      <c r="AY33" s="125">
        <f t="shared" si="42"/>
        <v>0</v>
      </c>
      <c r="AZ33" s="125">
        <f t="shared" si="43"/>
        <v>0</v>
      </c>
      <c r="BA33" s="125">
        <f t="shared" si="21"/>
        <v>0</v>
      </c>
      <c r="BB33" s="125">
        <f t="shared" si="41"/>
        <v>0</v>
      </c>
      <c r="BC33" s="125">
        <f t="shared" si="42"/>
        <v>0</v>
      </c>
      <c r="BD33" s="125">
        <f t="shared" si="43"/>
        <v>0</v>
      </c>
      <c r="BE33" s="125">
        <f t="shared" si="22"/>
        <v>0</v>
      </c>
      <c r="BF33" s="125">
        <f t="shared" si="41"/>
        <v>0</v>
      </c>
      <c r="BG33" s="125">
        <f t="shared" si="42"/>
        <v>0</v>
      </c>
      <c r="BH33" s="125">
        <f t="shared" si="43"/>
        <v>0</v>
      </c>
      <c r="BI33" s="125">
        <f t="shared" si="23"/>
        <v>0</v>
      </c>
      <c r="BJ33" s="125">
        <f t="shared" si="41"/>
        <v>0</v>
      </c>
      <c r="BK33" s="125">
        <f t="shared" si="42"/>
        <v>0</v>
      </c>
      <c r="BL33" s="125">
        <f t="shared" si="43"/>
        <v>0</v>
      </c>
      <c r="BM33" s="125">
        <f t="shared" si="24"/>
        <v>0</v>
      </c>
      <c r="BN33" s="125">
        <f t="shared" si="41"/>
        <v>0</v>
      </c>
      <c r="BO33" s="125">
        <f t="shared" si="42"/>
        <v>0</v>
      </c>
      <c r="BP33" s="125">
        <f t="shared" si="43"/>
        <v>0</v>
      </c>
      <c r="BQ33" s="125">
        <f t="shared" si="25"/>
        <v>0</v>
      </c>
      <c r="BR33" s="125">
        <f t="shared" si="41"/>
        <v>0</v>
      </c>
      <c r="BS33" s="125">
        <f t="shared" si="42"/>
        <v>0</v>
      </c>
      <c r="BT33" s="125">
        <f t="shared" si="43"/>
        <v>0</v>
      </c>
      <c r="BU33" s="125">
        <f t="shared" si="26"/>
        <v>8</v>
      </c>
      <c r="BV33" s="125">
        <f t="shared" si="41"/>
        <v>8</v>
      </c>
      <c r="BW33" s="125">
        <f t="shared" si="42"/>
        <v>0</v>
      </c>
      <c r="BX33" s="125">
        <f t="shared" si="43"/>
        <v>0</v>
      </c>
      <c r="BY33" s="125">
        <f t="shared" si="27"/>
        <v>0</v>
      </c>
      <c r="BZ33" s="125">
        <f t="shared" si="41"/>
        <v>0</v>
      </c>
      <c r="CA33" s="125">
        <f t="shared" si="42"/>
        <v>0</v>
      </c>
      <c r="CB33" s="125">
        <f t="shared" si="43"/>
        <v>0</v>
      </c>
      <c r="CC33" s="125">
        <f t="shared" si="28"/>
        <v>0</v>
      </c>
      <c r="CD33" s="125">
        <f t="shared" si="41"/>
        <v>0</v>
      </c>
      <c r="CE33" s="125">
        <f t="shared" si="42"/>
        <v>0</v>
      </c>
      <c r="CF33" s="125">
        <f t="shared" si="43"/>
        <v>0</v>
      </c>
      <c r="CG33" s="125">
        <f t="shared" si="29"/>
        <v>0</v>
      </c>
      <c r="CH33" s="125">
        <f t="shared" si="41"/>
        <v>0</v>
      </c>
      <c r="CI33" s="125">
        <f t="shared" si="42"/>
        <v>0</v>
      </c>
      <c r="CJ33" s="125">
        <f t="shared" si="43"/>
        <v>0</v>
      </c>
      <c r="CK33" s="125">
        <f t="shared" si="30"/>
        <v>0</v>
      </c>
    </row>
    <row r="34" spans="2:89" ht="13.5" customHeight="1" x14ac:dyDescent="0.2">
      <c r="B34" s="158" t="str">
        <f t="shared" si="33"/>
        <v>HOAR, Carl</v>
      </c>
      <c r="F34" s="125">
        <f t="shared" si="34"/>
        <v>0</v>
      </c>
      <c r="H34" s="125">
        <f t="shared" si="32"/>
        <v>8</v>
      </c>
      <c r="I34" s="125">
        <f t="shared" si="31"/>
        <v>0</v>
      </c>
      <c r="J34" s="125">
        <f t="shared" si="35"/>
        <v>0</v>
      </c>
      <c r="K34" s="125">
        <f t="shared" si="36"/>
        <v>0</v>
      </c>
      <c r="L34" s="125">
        <f t="shared" si="37"/>
        <v>0</v>
      </c>
      <c r="M34" s="125">
        <f t="shared" si="11"/>
        <v>0</v>
      </c>
      <c r="N34" s="125">
        <f t="shared" si="38"/>
        <v>0</v>
      </c>
      <c r="O34" s="125">
        <f t="shared" si="39"/>
        <v>0</v>
      </c>
      <c r="P34" s="125">
        <f t="shared" si="40"/>
        <v>0</v>
      </c>
      <c r="Q34" s="125">
        <f t="shared" si="12"/>
        <v>0</v>
      </c>
      <c r="R34" s="125">
        <f t="shared" si="38"/>
        <v>0</v>
      </c>
      <c r="S34" s="125">
        <f t="shared" si="39"/>
        <v>0</v>
      </c>
      <c r="T34" s="125">
        <f t="shared" si="40"/>
        <v>0</v>
      </c>
      <c r="U34" s="125">
        <f t="shared" si="13"/>
        <v>0</v>
      </c>
      <c r="V34" s="125">
        <f t="shared" si="38"/>
        <v>0</v>
      </c>
      <c r="W34" s="125">
        <f t="shared" si="39"/>
        <v>0</v>
      </c>
      <c r="X34" s="125">
        <f t="shared" si="40"/>
        <v>0</v>
      </c>
      <c r="Y34" s="125">
        <f t="shared" si="14"/>
        <v>0</v>
      </c>
      <c r="Z34" s="125">
        <f t="shared" si="38"/>
        <v>0</v>
      </c>
      <c r="AA34" s="125">
        <f t="shared" si="39"/>
        <v>0</v>
      </c>
      <c r="AB34" s="125">
        <f t="shared" si="40"/>
        <v>0</v>
      </c>
      <c r="AC34" s="125">
        <f t="shared" si="15"/>
        <v>0</v>
      </c>
      <c r="AD34" s="125">
        <f t="shared" si="38"/>
        <v>0</v>
      </c>
      <c r="AE34" s="125">
        <f t="shared" si="39"/>
        <v>0</v>
      </c>
      <c r="AF34" s="125">
        <f t="shared" si="40"/>
        <v>0</v>
      </c>
      <c r="AG34" s="125">
        <f t="shared" si="16"/>
        <v>0</v>
      </c>
      <c r="AH34" s="125">
        <f t="shared" si="38"/>
        <v>0</v>
      </c>
      <c r="AI34" s="125">
        <f t="shared" si="39"/>
        <v>0</v>
      </c>
      <c r="AJ34" s="125">
        <f t="shared" si="40"/>
        <v>0</v>
      </c>
      <c r="AK34" s="125">
        <f t="shared" si="17"/>
        <v>0</v>
      </c>
      <c r="AL34" s="125">
        <f t="shared" si="38"/>
        <v>0</v>
      </c>
      <c r="AM34" s="125">
        <f t="shared" si="39"/>
        <v>0</v>
      </c>
      <c r="AN34" s="125">
        <f t="shared" si="40"/>
        <v>0</v>
      </c>
      <c r="AO34" s="125">
        <f t="shared" si="18"/>
        <v>0</v>
      </c>
      <c r="AP34" s="125">
        <f t="shared" si="38"/>
        <v>0</v>
      </c>
      <c r="AQ34" s="125">
        <f t="shared" si="39"/>
        <v>0</v>
      </c>
      <c r="AR34" s="125">
        <f t="shared" si="40"/>
        <v>0</v>
      </c>
      <c r="AS34" s="125">
        <f t="shared" si="19"/>
        <v>0</v>
      </c>
      <c r="AT34" s="125">
        <f t="shared" si="41"/>
        <v>0</v>
      </c>
      <c r="AU34" s="125">
        <f t="shared" si="42"/>
        <v>0</v>
      </c>
      <c r="AV34" s="125">
        <f t="shared" si="43"/>
        <v>0</v>
      </c>
      <c r="AW34" s="125">
        <f t="shared" si="20"/>
        <v>0</v>
      </c>
      <c r="AX34" s="125">
        <f t="shared" si="41"/>
        <v>0</v>
      </c>
      <c r="AY34" s="125">
        <f t="shared" si="42"/>
        <v>0</v>
      </c>
      <c r="AZ34" s="125">
        <f t="shared" si="43"/>
        <v>0</v>
      </c>
      <c r="BA34" s="125">
        <f t="shared" si="21"/>
        <v>0</v>
      </c>
      <c r="BB34" s="125">
        <f t="shared" si="41"/>
        <v>0</v>
      </c>
      <c r="BC34" s="125">
        <f t="shared" si="42"/>
        <v>0</v>
      </c>
      <c r="BD34" s="125">
        <f t="shared" si="43"/>
        <v>0</v>
      </c>
      <c r="BE34" s="125">
        <f t="shared" si="22"/>
        <v>0</v>
      </c>
      <c r="BF34" s="125">
        <f t="shared" si="41"/>
        <v>0</v>
      </c>
      <c r="BG34" s="125">
        <f t="shared" si="42"/>
        <v>0</v>
      </c>
      <c r="BH34" s="125">
        <f t="shared" si="43"/>
        <v>0</v>
      </c>
      <c r="BI34" s="125">
        <f t="shared" si="23"/>
        <v>0</v>
      </c>
      <c r="BJ34" s="125">
        <f t="shared" si="41"/>
        <v>0</v>
      </c>
      <c r="BK34" s="125">
        <f t="shared" si="42"/>
        <v>0</v>
      </c>
      <c r="BL34" s="125">
        <f t="shared" si="43"/>
        <v>0</v>
      </c>
      <c r="BM34" s="125">
        <f t="shared" si="24"/>
        <v>0</v>
      </c>
      <c r="BN34" s="125">
        <f t="shared" si="41"/>
        <v>0</v>
      </c>
      <c r="BO34" s="125">
        <f t="shared" si="42"/>
        <v>0</v>
      </c>
      <c r="BP34" s="125">
        <f t="shared" si="43"/>
        <v>0</v>
      </c>
      <c r="BQ34" s="125">
        <f t="shared" si="25"/>
        <v>0</v>
      </c>
      <c r="BR34" s="125">
        <f t="shared" si="41"/>
        <v>0</v>
      </c>
      <c r="BS34" s="125">
        <f t="shared" si="42"/>
        <v>0</v>
      </c>
      <c r="BT34" s="125">
        <f t="shared" si="43"/>
        <v>0</v>
      </c>
      <c r="BU34" s="125">
        <f t="shared" si="26"/>
        <v>0</v>
      </c>
      <c r="BV34" s="125">
        <f t="shared" si="41"/>
        <v>0</v>
      </c>
      <c r="BW34" s="125">
        <f t="shared" si="42"/>
        <v>0</v>
      </c>
      <c r="BX34" s="125">
        <f t="shared" si="43"/>
        <v>0</v>
      </c>
      <c r="BY34" s="125">
        <f t="shared" si="27"/>
        <v>8</v>
      </c>
      <c r="BZ34" s="125">
        <f t="shared" si="41"/>
        <v>8</v>
      </c>
      <c r="CA34" s="125">
        <f t="shared" si="42"/>
        <v>0</v>
      </c>
      <c r="CB34" s="125">
        <f t="shared" si="43"/>
        <v>0</v>
      </c>
      <c r="CC34" s="125">
        <f t="shared" si="28"/>
        <v>0</v>
      </c>
      <c r="CD34" s="125">
        <f t="shared" si="41"/>
        <v>0</v>
      </c>
      <c r="CE34" s="125">
        <f t="shared" si="42"/>
        <v>0</v>
      </c>
      <c r="CF34" s="125">
        <f t="shared" si="43"/>
        <v>0</v>
      </c>
      <c r="CG34" s="125">
        <f t="shared" si="29"/>
        <v>0</v>
      </c>
      <c r="CH34" s="125">
        <f t="shared" si="41"/>
        <v>0</v>
      </c>
      <c r="CI34" s="125">
        <f t="shared" si="42"/>
        <v>0</v>
      </c>
      <c r="CJ34" s="125">
        <f t="shared" si="43"/>
        <v>0</v>
      </c>
      <c r="CK34" s="125">
        <f t="shared" si="30"/>
        <v>0</v>
      </c>
    </row>
    <row r="35" spans="2:89" ht="13.5" customHeight="1" x14ac:dyDescent="0.2">
      <c r="B35" s="158" t="str">
        <f t="shared" si="33"/>
        <v>MASON, Jim</v>
      </c>
      <c r="F35" s="125">
        <f t="shared" si="34"/>
        <v>0</v>
      </c>
      <c r="H35" s="125">
        <f t="shared" si="32"/>
        <v>24</v>
      </c>
      <c r="I35" s="125">
        <f t="shared" si="31"/>
        <v>0</v>
      </c>
      <c r="J35" s="125">
        <f t="shared" si="35"/>
        <v>0</v>
      </c>
      <c r="K35" s="125">
        <f t="shared" si="36"/>
        <v>0</v>
      </c>
      <c r="L35" s="125">
        <f t="shared" si="37"/>
        <v>0</v>
      </c>
      <c r="M35" s="125">
        <f t="shared" si="11"/>
        <v>0</v>
      </c>
      <c r="N35" s="125">
        <f t="shared" si="38"/>
        <v>0</v>
      </c>
      <c r="O35" s="125">
        <f t="shared" si="39"/>
        <v>0</v>
      </c>
      <c r="P35" s="125">
        <f t="shared" si="40"/>
        <v>0</v>
      </c>
      <c r="Q35" s="125">
        <f t="shared" si="12"/>
        <v>0</v>
      </c>
      <c r="R35" s="125">
        <f t="shared" si="38"/>
        <v>0</v>
      </c>
      <c r="S35" s="125">
        <f t="shared" si="39"/>
        <v>0</v>
      </c>
      <c r="T35" s="125">
        <f t="shared" si="40"/>
        <v>0</v>
      </c>
      <c r="U35" s="125">
        <f t="shared" si="13"/>
        <v>0</v>
      </c>
      <c r="V35" s="125">
        <f t="shared" si="38"/>
        <v>0</v>
      </c>
      <c r="W35" s="125">
        <f t="shared" si="39"/>
        <v>0</v>
      </c>
      <c r="X35" s="125">
        <f t="shared" si="40"/>
        <v>0</v>
      </c>
      <c r="Y35" s="125">
        <f t="shared" si="14"/>
        <v>0</v>
      </c>
      <c r="Z35" s="125">
        <f t="shared" si="38"/>
        <v>0</v>
      </c>
      <c r="AA35" s="125">
        <f t="shared" si="39"/>
        <v>0</v>
      </c>
      <c r="AB35" s="125">
        <f t="shared" si="40"/>
        <v>0</v>
      </c>
      <c r="AC35" s="125">
        <f t="shared" si="15"/>
        <v>0</v>
      </c>
      <c r="AD35" s="125">
        <f t="shared" si="38"/>
        <v>0</v>
      </c>
      <c r="AE35" s="125">
        <f t="shared" si="39"/>
        <v>0</v>
      </c>
      <c r="AF35" s="125">
        <f t="shared" si="40"/>
        <v>0</v>
      </c>
      <c r="AG35" s="125">
        <f t="shared" si="16"/>
        <v>0</v>
      </c>
      <c r="AH35" s="125">
        <f t="shared" si="38"/>
        <v>0</v>
      </c>
      <c r="AI35" s="125">
        <f t="shared" si="39"/>
        <v>0</v>
      </c>
      <c r="AJ35" s="125">
        <f t="shared" si="40"/>
        <v>0</v>
      </c>
      <c r="AK35" s="125">
        <f t="shared" si="17"/>
        <v>0</v>
      </c>
      <c r="AL35" s="125">
        <f t="shared" si="38"/>
        <v>0</v>
      </c>
      <c r="AM35" s="125">
        <f t="shared" si="39"/>
        <v>0</v>
      </c>
      <c r="AN35" s="125">
        <f t="shared" si="40"/>
        <v>0</v>
      </c>
      <c r="AO35" s="125">
        <f t="shared" si="18"/>
        <v>0</v>
      </c>
      <c r="AP35" s="125">
        <f t="shared" si="38"/>
        <v>0</v>
      </c>
      <c r="AQ35" s="125">
        <f t="shared" si="39"/>
        <v>0</v>
      </c>
      <c r="AR35" s="125">
        <f t="shared" si="40"/>
        <v>0</v>
      </c>
      <c r="AS35" s="125">
        <f t="shared" si="19"/>
        <v>0</v>
      </c>
      <c r="AT35" s="125">
        <f t="shared" si="41"/>
        <v>0</v>
      </c>
      <c r="AU35" s="125">
        <f t="shared" si="42"/>
        <v>0</v>
      </c>
      <c r="AV35" s="125">
        <f t="shared" si="43"/>
        <v>0</v>
      </c>
      <c r="AW35" s="125">
        <f t="shared" si="20"/>
        <v>8</v>
      </c>
      <c r="AX35" s="125">
        <f t="shared" si="41"/>
        <v>8</v>
      </c>
      <c r="AY35" s="125">
        <f t="shared" si="42"/>
        <v>0</v>
      </c>
      <c r="AZ35" s="125">
        <f t="shared" si="43"/>
        <v>0</v>
      </c>
      <c r="BA35" s="125">
        <f t="shared" si="21"/>
        <v>0</v>
      </c>
      <c r="BB35" s="125">
        <f t="shared" si="41"/>
        <v>0</v>
      </c>
      <c r="BC35" s="125">
        <f t="shared" si="42"/>
        <v>0</v>
      </c>
      <c r="BD35" s="125">
        <f t="shared" si="43"/>
        <v>0</v>
      </c>
      <c r="BE35" s="125">
        <f t="shared" si="22"/>
        <v>0</v>
      </c>
      <c r="BF35" s="125">
        <f t="shared" si="41"/>
        <v>0</v>
      </c>
      <c r="BG35" s="125">
        <f t="shared" si="42"/>
        <v>0</v>
      </c>
      <c r="BH35" s="125">
        <f t="shared" si="43"/>
        <v>0</v>
      </c>
      <c r="BI35" s="125">
        <f t="shared" si="23"/>
        <v>0</v>
      </c>
      <c r="BJ35" s="125">
        <f t="shared" si="41"/>
        <v>0</v>
      </c>
      <c r="BK35" s="125">
        <f t="shared" si="42"/>
        <v>0</v>
      </c>
      <c r="BL35" s="125">
        <f t="shared" si="43"/>
        <v>0</v>
      </c>
      <c r="BM35" s="125">
        <f t="shared" si="24"/>
        <v>0</v>
      </c>
      <c r="BN35" s="125">
        <f t="shared" si="41"/>
        <v>0</v>
      </c>
      <c r="BO35" s="125">
        <f t="shared" si="42"/>
        <v>0</v>
      </c>
      <c r="BP35" s="125">
        <f t="shared" si="43"/>
        <v>0</v>
      </c>
      <c r="BQ35" s="125">
        <f t="shared" si="25"/>
        <v>0</v>
      </c>
      <c r="BR35" s="125">
        <f t="shared" si="41"/>
        <v>0</v>
      </c>
      <c r="BS35" s="125">
        <f t="shared" si="42"/>
        <v>0</v>
      </c>
      <c r="BT35" s="125">
        <f t="shared" si="43"/>
        <v>0</v>
      </c>
      <c r="BU35" s="125">
        <f t="shared" si="26"/>
        <v>0</v>
      </c>
      <c r="BV35" s="125">
        <f t="shared" si="41"/>
        <v>0</v>
      </c>
      <c r="BW35" s="125">
        <f t="shared" si="42"/>
        <v>0</v>
      </c>
      <c r="BX35" s="125">
        <f t="shared" si="43"/>
        <v>0</v>
      </c>
      <c r="BY35" s="125">
        <f t="shared" si="27"/>
        <v>0</v>
      </c>
      <c r="BZ35" s="125">
        <f t="shared" si="41"/>
        <v>0</v>
      </c>
      <c r="CA35" s="125">
        <f t="shared" si="42"/>
        <v>0</v>
      </c>
      <c r="CB35" s="125">
        <f t="shared" si="43"/>
        <v>0</v>
      </c>
      <c r="CC35" s="125">
        <f t="shared" si="28"/>
        <v>16</v>
      </c>
      <c r="CD35" s="125">
        <f t="shared" si="41"/>
        <v>16</v>
      </c>
      <c r="CE35" s="125">
        <f t="shared" si="42"/>
        <v>0</v>
      </c>
      <c r="CF35" s="125">
        <f t="shared" si="43"/>
        <v>0</v>
      </c>
      <c r="CG35" s="125">
        <f t="shared" si="29"/>
        <v>0</v>
      </c>
      <c r="CH35" s="125">
        <f t="shared" si="41"/>
        <v>0</v>
      </c>
      <c r="CI35" s="125">
        <f t="shared" si="42"/>
        <v>0</v>
      </c>
      <c r="CJ35" s="125">
        <f t="shared" si="43"/>
        <v>0</v>
      </c>
      <c r="CK35" s="125">
        <f t="shared" si="30"/>
        <v>0</v>
      </c>
    </row>
    <row r="36" spans="2:89" ht="13.5" customHeight="1" x14ac:dyDescent="0.2">
      <c r="B36" s="158" t="str">
        <f t="shared" si="33"/>
        <v>OVENS, Rhett</v>
      </c>
      <c r="F36" s="125">
        <f t="shared" si="34"/>
        <v>0</v>
      </c>
      <c r="H36" s="125">
        <f t="shared" si="32"/>
        <v>8</v>
      </c>
      <c r="I36" s="125">
        <f t="shared" si="31"/>
        <v>0</v>
      </c>
      <c r="J36" s="125">
        <f t="shared" si="35"/>
        <v>0</v>
      </c>
      <c r="K36" s="125">
        <f t="shared" si="36"/>
        <v>0</v>
      </c>
      <c r="L36" s="125">
        <f t="shared" si="37"/>
        <v>0</v>
      </c>
      <c r="M36" s="125">
        <f t="shared" si="11"/>
        <v>0</v>
      </c>
      <c r="N36" s="125">
        <f t="shared" si="38"/>
        <v>0</v>
      </c>
      <c r="O36" s="125">
        <f t="shared" si="39"/>
        <v>0</v>
      </c>
      <c r="P36" s="125">
        <f t="shared" si="40"/>
        <v>0</v>
      </c>
      <c r="Q36" s="125">
        <f t="shared" si="12"/>
        <v>8</v>
      </c>
      <c r="R36" s="125">
        <f t="shared" si="38"/>
        <v>8</v>
      </c>
      <c r="S36" s="125">
        <f t="shared" si="39"/>
        <v>0</v>
      </c>
      <c r="T36" s="125">
        <f t="shared" si="40"/>
        <v>0</v>
      </c>
      <c r="U36" s="125">
        <f t="shared" si="13"/>
        <v>0</v>
      </c>
      <c r="V36" s="125">
        <f t="shared" si="38"/>
        <v>0</v>
      </c>
      <c r="W36" s="125">
        <f t="shared" si="39"/>
        <v>0</v>
      </c>
      <c r="X36" s="125">
        <f t="shared" si="40"/>
        <v>0</v>
      </c>
      <c r="Y36" s="125">
        <f t="shared" si="14"/>
        <v>0</v>
      </c>
      <c r="Z36" s="125">
        <f t="shared" si="38"/>
        <v>0</v>
      </c>
      <c r="AA36" s="125">
        <f t="shared" si="39"/>
        <v>0</v>
      </c>
      <c r="AB36" s="125">
        <f t="shared" si="40"/>
        <v>0</v>
      </c>
      <c r="AC36" s="125">
        <f t="shared" si="15"/>
        <v>0</v>
      </c>
      <c r="AD36" s="125">
        <f t="shared" si="38"/>
        <v>0</v>
      </c>
      <c r="AE36" s="125">
        <f t="shared" si="39"/>
        <v>0</v>
      </c>
      <c r="AF36" s="125">
        <f t="shared" si="40"/>
        <v>0</v>
      </c>
      <c r="AG36" s="125">
        <f t="shared" si="16"/>
        <v>0</v>
      </c>
      <c r="AH36" s="125">
        <f t="shared" si="38"/>
        <v>0</v>
      </c>
      <c r="AI36" s="125">
        <f t="shared" si="39"/>
        <v>0</v>
      </c>
      <c r="AJ36" s="125">
        <f t="shared" si="40"/>
        <v>0</v>
      </c>
      <c r="AK36" s="125">
        <f t="shared" si="17"/>
        <v>0</v>
      </c>
      <c r="AL36" s="125">
        <f t="shared" si="38"/>
        <v>0</v>
      </c>
      <c r="AM36" s="125">
        <f t="shared" si="39"/>
        <v>0</v>
      </c>
      <c r="AN36" s="125">
        <f t="shared" si="40"/>
        <v>0</v>
      </c>
      <c r="AO36" s="125">
        <f t="shared" si="18"/>
        <v>0</v>
      </c>
      <c r="AP36" s="125">
        <f t="shared" si="38"/>
        <v>0</v>
      </c>
      <c r="AQ36" s="125">
        <f t="shared" si="39"/>
        <v>0</v>
      </c>
      <c r="AR36" s="125">
        <f t="shared" si="40"/>
        <v>0</v>
      </c>
      <c r="AS36" s="125">
        <f t="shared" si="19"/>
        <v>0</v>
      </c>
      <c r="AT36" s="125">
        <f t="shared" si="41"/>
        <v>0</v>
      </c>
      <c r="AU36" s="125">
        <f t="shared" si="42"/>
        <v>0</v>
      </c>
      <c r="AV36" s="125">
        <f t="shared" si="43"/>
        <v>0</v>
      </c>
      <c r="AW36" s="125">
        <f t="shared" si="20"/>
        <v>0</v>
      </c>
      <c r="AX36" s="125">
        <f t="shared" si="41"/>
        <v>0</v>
      </c>
      <c r="AY36" s="125">
        <f t="shared" si="42"/>
        <v>0</v>
      </c>
      <c r="AZ36" s="125">
        <f t="shared" si="43"/>
        <v>0</v>
      </c>
      <c r="BA36" s="125">
        <f t="shared" si="21"/>
        <v>0</v>
      </c>
      <c r="BB36" s="125">
        <f t="shared" si="41"/>
        <v>0</v>
      </c>
      <c r="BC36" s="125">
        <f t="shared" si="42"/>
        <v>0</v>
      </c>
      <c r="BD36" s="125">
        <f t="shared" si="43"/>
        <v>0</v>
      </c>
      <c r="BE36" s="125">
        <f t="shared" si="22"/>
        <v>0</v>
      </c>
      <c r="BF36" s="125">
        <f t="shared" si="41"/>
        <v>0</v>
      </c>
      <c r="BG36" s="125">
        <f t="shared" si="42"/>
        <v>0</v>
      </c>
      <c r="BH36" s="125">
        <f t="shared" si="43"/>
        <v>0</v>
      </c>
      <c r="BI36" s="125">
        <f t="shared" si="23"/>
        <v>0</v>
      </c>
      <c r="BJ36" s="125">
        <f t="shared" si="41"/>
        <v>0</v>
      </c>
      <c r="BK36" s="125">
        <f t="shared" si="42"/>
        <v>0</v>
      </c>
      <c r="BL36" s="125">
        <f t="shared" si="43"/>
        <v>0</v>
      </c>
      <c r="BM36" s="125">
        <f t="shared" si="24"/>
        <v>0</v>
      </c>
      <c r="BN36" s="125">
        <f t="shared" si="41"/>
        <v>0</v>
      </c>
      <c r="BO36" s="125">
        <f t="shared" si="42"/>
        <v>0</v>
      </c>
      <c r="BP36" s="125">
        <f t="shared" si="43"/>
        <v>0</v>
      </c>
      <c r="BQ36" s="125">
        <f t="shared" si="25"/>
        <v>0</v>
      </c>
      <c r="BR36" s="125">
        <f t="shared" si="41"/>
        <v>0</v>
      </c>
      <c r="BS36" s="125">
        <f t="shared" si="42"/>
        <v>0</v>
      </c>
      <c r="BT36" s="125">
        <f t="shared" si="43"/>
        <v>0</v>
      </c>
      <c r="BU36" s="125">
        <f t="shared" si="26"/>
        <v>0</v>
      </c>
      <c r="BV36" s="125">
        <f t="shared" si="41"/>
        <v>0</v>
      </c>
      <c r="BW36" s="125">
        <f t="shared" si="42"/>
        <v>0</v>
      </c>
      <c r="BX36" s="125">
        <f t="shared" si="43"/>
        <v>0</v>
      </c>
      <c r="BY36" s="125">
        <f t="shared" si="27"/>
        <v>0</v>
      </c>
      <c r="BZ36" s="125">
        <f t="shared" si="41"/>
        <v>0</v>
      </c>
      <c r="CA36" s="125">
        <f t="shared" si="42"/>
        <v>0</v>
      </c>
      <c r="CB36" s="125">
        <f t="shared" si="43"/>
        <v>0</v>
      </c>
      <c r="CC36" s="125">
        <f t="shared" si="28"/>
        <v>0</v>
      </c>
      <c r="CD36" s="125">
        <f t="shared" si="41"/>
        <v>0</v>
      </c>
      <c r="CE36" s="125">
        <f t="shared" si="42"/>
        <v>0</v>
      </c>
      <c r="CF36" s="125">
        <f t="shared" si="43"/>
        <v>0</v>
      </c>
      <c r="CG36" s="125">
        <f t="shared" si="29"/>
        <v>0</v>
      </c>
      <c r="CH36" s="125">
        <f t="shared" si="41"/>
        <v>0</v>
      </c>
      <c r="CI36" s="125">
        <f t="shared" si="42"/>
        <v>0</v>
      </c>
      <c r="CJ36" s="125">
        <f t="shared" si="43"/>
        <v>0</v>
      </c>
      <c r="CK36" s="125">
        <f t="shared" si="30"/>
        <v>0</v>
      </c>
    </row>
    <row r="37" spans="2:89" ht="13.5" customHeight="1" x14ac:dyDescent="0.2">
      <c r="M37" s="116"/>
      <c r="Q37" s="116"/>
      <c r="U37" s="116"/>
      <c r="Y37" s="116"/>
      <c r="AC37" s="116"/>
      <c r="AG37" s="116"/>
      <c r="AK37" s="116"/>
      <c r="AO37" s="116"/>
      <c r="AS37" s="116"/>
      <c r="AW37" s="116"/>
      <c r="BA37" s="116"/>
      <c r="BE37" s="116"/>
      <c r="BI37" s="116"/>
      <c r="BM37" s="116"/>
      <c r="BQ37" s="116"/>
      <c r="BU37" s="116"/>
      <c r="BY37" s="116"/>
      <c r="CC37" s="116"/>
      <c r="CG37" s="116"/>
      <c r="CK37" s="116"/>
    </row>
    <row r="38" spans="2:89" ht="13.5" customHeight="1" x14ac:dyDescent="0.2">
      <c r="M38" s="116"/>
      <c r="Q38" s="116"/>
      <c r="U38" s="116"/>
      <c r="Y38" s="116"/>
      <c r="AC38" s="116"/>
      <c r="AG38" s="116"/>
      <c r="AK38" s="116"/>
      <c r="AO38" s="116"/>
      <c r="AS38" s="116"/>
      <c r="AW38" s="116"/>
      <c r="BA38" s="116"/>
      <c r="BE38" s="116"/>
      <c r="BI38" s="116"/>
      <c r="BM38" s="116"/>
      <c r="BQ38" s="116"/>
      <c r="BU38" s="116"/>
      <c r="BY38" s="116"/>
      <c r="CC38" s="116"/>
      <c r="CG38" s="116"/>
      <c r="CK38" s="116"/>
    </row>
    <row r="39" spans="2:89" ht="13.5" customHeight="1" x14ac:dyDescent="0.2">
      <c r="M39" s="116"/>
      <c r="Q39" s="116"/>
      <c r="U39" s="116"/>
      <c r="Y39" s="116"/>
      <c r="AC39" s="116"/>
      <c r="AG39" s="116"/>
      <c r="AK39" s="116"/>
      <c r="AO39" s="116"/>
      <c r="AS39" s="116"/>
      <c r="AW39" s="116"/>
      <c r="BA39" s="116"/>
      <c r="BE39" s="116"/>
      <c r="BI39" s="116"/>
      <c r="BM39" s="116"/>
      <c r="BQ39" s="116"/>
      <c r="BU39" s="116"/>
      <c r="BY39" s="116"/>
      <c r="CC39" s="116"/>
      <c r="CG39" s="116"/>
      <c r="CK39" s="116"/>
    </row>
    <row r="40" spans="2:89" ht="13.5" customHeight="1" x14ac:dyDescent="0.2">
      <c r="M40" s="116"/>
      <c r="Q40" s="116"/>
      <c r="U40" s="116"/>
      <c r="Y40" s="116"/>
      <c r="AC40" s="116"/>
      <c r="AG40" s="116"/>
      <c r="AK40" s="116"/>
      <c r="AO40" s="116"/>
      <c r="AS40" s="116"/>
      <c r="AW40" s="116"/>
      <c r="BA40" s="116"/>
      <c r="BE40" s="116"/>
      <c r="BI40" s="116"/>
      <c r="BM40" s="116"/>
      <c r="BQ40" s="116"/>
      <c r="BU40" s="116"/>
      <c r="BY40" s="116"/>
      <c r="CC40" s="116"/>
      <c r="CG40" s="116"/>
      <c r="CK40" s="116"/>
    </row>
    <row r="41" spans="2:89" ht="13.5" customHeight="1" x14ac:dyDescent="0.2">
      <c r="M41" s="116"/>
      <c r="Q41" s="116"/>
      <c r="U41" s="116"/>
      <c r="Y41" s="116"/>
      <c r="AC41" s="116"/>
      <c r="AG41" s="116"/>
      <c r="AK41" s="116"/>
      <c r="AO41" s="116"/>
      <c r="AS41" s="116"/>
      <c r="AW41" s="116"/>
      <c r="BA41" s="116"/>
      <c r="BE41" s="116"/>
      <c r="BI41" s="116"/>
      <c r="BM41" s="116"/>
      <c r="BQ41" s="116"/>
      <c r="BU41" s="116"/>
      <c r="BY41" s="116"/>
      <c r="CC41" s="116"/>
      <c r="CG41" s="116"/>
      <c r="CK41" s="116"/>
    </row>
    <row r="42" spans="2:89" ht="13.5" customHeight="1" x14ac:dyDescent="0.2">
      <c r="M42" s="116"/>
      <c r="Q42" s="116"/>
      <c r="U42" s="116"/>
      <c r="Y42" s="116"/>
      <c r="AC42" s="116"/>
      <c r="AG42" s="116"/>
      <c r="AK42" s="116"/>
      <c r="AO42" s="116"/>
      <c r="AS42" s="116"/>
      <c r="AW42" s="116"/>
      <c r="BA42" s="116"/>
      <c r="BE42" s="116"/>
      <c r="BI42" s="116"/>
      <c r="BM42" s="116"/>
      <c r="BQ42" s="116"/>
      <c r="BU42" s="116"/>
      <c r="BY42" s="116"/>
      <c r="CC42" s="116"/>
      <c r="CG42" s="116"/>
      <c r="CK42" s="116"/>
    </row>
    <row r="43" spans="2:89" ht="13.5" customHeight="1" x14ac:dyDescent="0.2">
      <c r="M43" s="116"/>
      <c r="Q43" s="116"/>
      <c r="U43" s="116"/>
      <c r="Y43" s="116"/>
      <c r="AC43" s="116"/>
      <c r="AG43" s="116"/>
      <c r="AK43" s="116"/>
      <c r="AO43" s="116"/>
      <c r="AS43" s="116"/>
      <c r="AW43" s="116"/>
      <c r="BA43" s="116"/>
      <c r="BE43" s="116"/>
      <c r="BI43" s="116"/>
      <c r="BM43" s="116"/>
      <c r="BQ43" s="116"/>
      <c r="BU43" s="116"/>
      <c r="BY43" s="116"/>
      <c r="CC43" s="116"/>
      <c r="CG43" s="116"/>
      <c r="CK43" s="116"/>
    </row>
    <row r="44" spans="2:89" ht="13.5" customHeight="1" x14ac:dyDescent="0.2">
      <c r="M44" s="116"/>
      <c r="Q44" s="116"/>
      <c r="U44" s="116"/>
      <c r="Y44" s="116"/>
      <c r="AC44" s="116"/>
      <c r="AG44" s="116"/>
      <c r="AK44" s="116"/>
      <c r="AO44" s="116"/>
      <c r="AS44" s="116"/>
      <c r="AW44" s="116"/>
      <c r="BA44" s="116"/>
      <c r="BE44" s="116"/>
      <c r="BI44" s="116"/>
      <c r="BM44" s="116"/>
      <c r="BQ44" s="116"/>
      <c r="BU44" s="116"/>
      <c r="BY44" s="116"/>
      <c r="CC44" s="116"/>
      <c r="CG44" s="116"/>
      <c r="CK44" s="116"/>
    </row>
    <row r="45" spans="2:89" ht="13.5" customHeight="1" x14ac:dyDescent="0.2">
      <c r="M45" s="116"/>
      <c r="Q45" s="116"/>
      <c r="U45" s="116"/>
      <c r="Y45" s="116"/>
      <c r="AC45" s="116"/>
      <c r="AG45" s="116"/>
      <c r="AK45" s="116"/>
      <c r="AO45" s="116"/>
      <c r="AS45" s="116"/>
      <c r="AW45" s="116"/>
      <c r="BA45" s="116"/>
      <c r="BE45" s="116"/>
      <c r="BI45" s="116"/>
      <c r="BM45" s="116"/>
      <c r="BQ45" s="116"/>
      <c r="BU45" s="116"/>
      <c r="BY45" s="116"/>
      <c r="CC45" s="116"/>
      <c r="CG45" s="116"/>
      <c r="CK45" s="116"/>
    </row>
    <row r="46" spans="2:89" ht="13.5" customHeight="1" x14ac:dyDescent="0.2">
      <c r="M46" s="116"/>
      <c r="Q46" s="116"/>
      <c r="U46" s="116"/>
      <c r="Y46" s="116"/>
      <c r="AC46" s="116"/>
      <c r="AG46" s="116"/>
      <c r="AK46" s="116"/>
      <c r="AO46" s="116"/>
      <c r="AS46" s="116"/>
      <c r="AW46" s="116"/>
      <c r="BA46" s="116"/>
      <c r="BE46" s="116"/>
      <c r="BI46" s="116"/>
      <c r="BM46" s="116"/>
      <c r="BQ46" s="116"/>
      <c r="BU46" s="116"/>
      <c r="BY46" s="116"/>
      <c r="CC46" s="116"/>
      <c r="CG46" s="116"/>
      <c r="CK46" s="116"/>
    </row>
    <row r="47" spans="2:89" ht="13.5" customHeight="1" x14ac:dyDescent="0.2">
      <c r="M47" s="116"/>
      <c r="Q47" s="116"/>
      <c r="U47" s="116"/>
      <c r="Y47" s="116"/>
      <c r="AC47" s="116"/>
      <c r="AG47" s="116"/>
      <c r="AK47" s="116"/>
      <c r="AO47" s="116"/>
      <c r="AS47" s="116"/>
      <c r="AW47" s="116"/>
      <c r="BA47" s="116"/>
      <c r="BE47" s="116"/>
      <c r="BI47" s="116"/>
      <c r="BM47" s="116"/>
      <c r="BQ47" s="116"/>
      <c r="BU47" s="116"/>
      <c r="BY47" s="116"/>
      <c r="CC47" s="116"/>
      <c r="CG47" s="116"/>
      <c r="CK47" s="116"/>
    </row>
    <row r="48" spans="2:89" ht="13.5" customHeight="1" x14ac:dyDescent="0.2">
      <c r="B48" s="329" t="s">
        <v>99</v>
      </c>
      <c r="C48" s="129"/>
      <c r="M48" s="116"/>
      <c r="Q48" s="116"/>
      <c r="U48" s="116"/>
      <c r="Y48" s="116"/>
      <c r="AC48" s="116"/>
      <c r="AG48" s="116"/>
      <c r="AK48" s="116"/>
      <c r="AO48" s="116"/>
      <c r="AS48" s="116"/>
      <c r="AW48" s="116"/>
      <c r="BA48" s="116"/>
      <c r="BE48" s="116"/>
      <c r="BI48" s="116"/>
      <c r="BM48" s="116"/>
      <c r="BQ48" s="116"/>
      <c r="BU48" s="116"/>
      <c r="BY48" s="116"/>
      <c r="CC48" s="116"/>
      <c r="CG48" s="116"/>
      <c r="CK48" s="116"/>
    </row>
    <row r="49" spans="2:89" ht="13.5" customHeight="1" x14ac:dyDescent="0.2">
      <c r="B49" s="324" t="s">
        <v>100</v>
      </c>
      <c r="C49" s="129"/>
      <c r="M49" s="126"/>
      <c r="Q49" s="126"/>
      <c r="U49" s="126"/>
      <c r="Y49" s="126"/>
      <c r="AC49" s="126"/>
      <c r="AG49" s="126"/>
      <c r="AK49" s="126"/>
      <c r="AO49" s="126"/>
      <c r="AS49" s="126"/>
      <c r="AW49" s="126"/>
      <c r="BA49" s="126"/>
      <c r="BE49" s="126"/>
      <c r="BI49" s="126"/>
      <c r="BM49" s="126"/>
      <c r="BQ49" s="126"/>
      <c r="BU49" s="126"/>
      <c r="BY49" s="126"/>
      <c r="CC49" s="126"/>
      <c r="CG49" s="126"/>
      <c r="CK49" s="126"/>
    </row>
    <row r="50" spans="2:89" ht="13.5" customHeight="1" x14ac:dyDescent="0.2">
      <c r="B50" s="324" t="s">
        <v>101</v>
      </c>
      <c r="C50" s="129"/>
      <c r="M50" s="126"/>
      <c r="Q50" s="126"/>
      <c r="U50" s="126"/>
      <c r="Y50" s="126"/>
      <c r="AC50" s="126"/>
      <c r="AG50" s="126"/>
      <c r="AK50" s="126"/>
      <c r="AO50" s="126"/>
      <c r="AS50" s="126"/>
      <c r="AW50" s="126"/>
      <c r="BA50" s="126"/>
      <c r="BE50" s="126"/>
      <c r="BI50" s="126"/>
      <c r="BM50" s="126"/>
      <c r="BQ50" s="126"/>
      <c r="BU50" s="126"/>
      <c r="BY50" s="126"/>
      <c r="CC50" s="126"/>
      <c r="CG50" s="126"/>
      <c r="CK50" s="126"/>
    </row>
    <row r="51" spans="2:89" ht="13.5" customHeight="1" x14ac:dyDescent="0.2">
      <c r="B51" s="476" t="s">
        <v>102</v>
      </c>
      <c r="C51" s="426"/>
      <c r="D51" s="426"/>
      <c r="E51" s="426"/>
      <c r="M51" s="126"/>
      <c r="Q51" s="126"/>
      <c r="U51" s="126"/>
      <c r="Y51" s="126"/>
      <c r="AC51" s="126"/>
      <c r="AG51" s="126"/>
      <c r="AK51" s="126"/>
      <c r="AO51" s="126"/>
      <c r="AS51" s="126"/>
      <c r="AW51" s="126"/>
      <c r="BA51" s="126"/>
      <c r="BE51" s="126"/>
      <c r="BI51" s="126"/>
      <c r="BM51" s="126"/>
      <c r="BQ51" s="126"/>
      <c r="BU51" s="126"/>
      <c r="BY51" s="126"/>
      <c r="CC51" s="126"/>
      <c r="CG51" s="126"/>
      <c r="CK51" s="126"/>
    </row>
    <row r="52" spans="2:89" ht="13.5" customHeight="1" x14ac:dyDescent="0.2">
      <c r="B52" s="476" t="s">
        <v>103</v>
      </c>
      <c r="C52" s="463"/>
      <c r="M52" s="126"/>
      <c r="Q52" s="126"/>
      <c r="U52" s="126"/>
      <c r="Y52" s="126"/>
      <c r="AC52" s="126"/>
      <c r="AG52" s="126"/>
      <c r="AK52" s="126"/>
      <c r="AO52" s="126"/>
      <c r="AS52" s="126"/>
      <c r="AW52" s="126"/>
      <c r="BA52" s="126"/>
      <c r="BE52" s="126"/>
      <c r="BI52" s="126"/>
      <c r="BM52" s="126"/>
      <c r="BQ52" s="126"/>
      <c r="BU52" s="126"/>
      <c r="BY52" s="126"/>
      <c r="CC52" s="126"/>
      <c r="CG52" s="126"/>
      <c r="CK52" s="126"/>
    </row>
    <row r="53" spans="2:89" ht="13.5" customHeight="1" x14ac:dyDescent="0.2">
      <c r="B53" s="324"/>
      <c r="M53" s="126"/>
      <c r="Q53" s="126"/>
      <c r="U53" s="126"/>
      <c r="Y53" s="126"/>
      <c r="AC53" s="126"/>
      <c r="AG53" s="126"/>
      <c r="AK53" s="126"/>
      <c r="AO53" s="126"/>
      <c r="AS53" s="126"/>
      <c r="AW53" s="126"/>
      <c r="BA53" s="126"/>
      <c r="BE53" s="126"/>
      <c r="BI53" s="126"/>
      <c r="BM53" s="126"/>
      <c r="BQ53" s="126"/>
      <c r="BU53" s="126"/>
      <c r="BY53" s="126"/>
      <c r="CC53" s="126"/>
      <c r="CG53" s="126"/>
      <c r="CK53" s="126"/>
    </row>
    <row r="54" spans="2:89" ht="13.5" customHeight="1" x14ac:dyDescent="0.2">
      <c r="B54" s="150"/>
      <c r="M54" s="126"/>
      <c r="Q54" s="126"/>
      <c r="U54" s="126"/>
      <c r="Y54" s="126"/>
      <c r="AC54" s="126"/>
      <c r="AG54" s="126"/>
      <c r="AK54" s="126"/>
      <c r="AO54" s="126"/>
      <c r="AS54" s="126"/>
      <c r="AW54" s="126"/>
      <c r="BA54" s="126"/>
      <c r="BE54" s="126"/>
      <c r="BI54" s="126"/>
      <c r="BM54" s="126"/>
      <c r="BQ54" s="126"/>
      <c r="BU54" s="126"/>
      <c r="BY54" s="126"/>
      <c r="CC54" s="126"/>
      <c r="CG54" s="126"/>
      <c r="CK54" s="126"/>
    </row>
    <row r="55" spans="2:89" ht="13.5" customHeight="1" x14ac:dyDescent="0.2">
      <c r="B55" s="286"/>
      <c r="M55" s="126"/>
      <c r="Q55" s="126"/>
      <c r="U55" s="126"/>
      <c r="Y55" s="126"/>
      <c r="AC55" s="126"/>
      <c r="AG55" s="126"/>
      <c r="AK55" s="126"/>
      <c r="AO55" s="126"/>
      <c r="AS55" s="126"/>
      <c r="AW55" s="126"/>
      <c r="BA55" s="126"/>
      <c r="BE55" s="126"/>
      <c r="BI55" s="126"/>
      <c r="BM55" s="126"/>
      <c r="BQ55" s="126"/>
      <c r="BU55" s="126"/>
      <c r="BY55" s="126"/>
      <c r="CC55" s="126"/>
      <c r="CG55" s="126"/>
      <c r="CK55" s="126"/>
    </row>
    <row r="56" spans="2:89" ht="13.5" customHeight="1" x14ac:dyDescent="0.2">
      <c r="B56" s="324"/>
      <c r="M56" s="126"/>
      <c r="Q56" s="126"/>
      <c r="U56" s="126"/>
      <c r="Y56" s="126"/>
      <c r="AC56" s="126"/>
      <c r="AG56" s="126"/>
      <c r="AK56" s="126"/>
      <c r="AO56" s="126"/>
      <c r="AS56" s="126"/>
      <c r="AW56" s="126"/>
      <c r="BA56" s="126"/>
      <c r="BE56" s="126"/>
      <c r="BI56" s="126"/>
      <c r="BM56" s="126"/>
      <c r="BQ56" s="126"/>
      <c r="BU56" s="126"/>
      <c r="BY56" s="126"/>
      <c r="CC56" s="126"/>
      <c r="CG56" s="126"/>
      <c r="CK56" s="126"/>
    </row>
    <row r="57" spans="2:89" ht="13.5" customHeight="1" x14ac:dyDescent="0.2">
      <c r="B57" s="324"/>
      <c r="M57" s="126"/>
      <c r="Q57" s="126"/>
      <c r="U57" s="126"/>
      <c r="Y57" s="126"/>
      <c r="AC57" s="126"/>
      <c r="AG57" s="126"/>
      <c r="AK57" s="126"/>
      <c r="AO57" s="126"/>
      <c r="AS57" s="126"/>
      <c r="AW57" s="126"/>
      <c r="BA57" s="126"/>
      <c r="BE57" s="126"/>
      <c r="BI57" s="126"/>
      <c r="BM57" s="126"/>
      <c r="BQ57" s="126"/>
      <c r="BU57" s="126"/>
      <c r="BY57" s="126"/>
      <c r="CC57" s="126"/>
      <c r="CG57" s="126"/>
      <c r="CK57" s="126"/>
    </row>
    <row r="58" spans="2:89" ht="13.5" customHeight="1" x14ac:dyDescent="0.2">
      <c r="B58" s="324"/>
      <c r="M58" s="126"/>
      <c r="Q58" s="126"/>
      <c r="U58" s="126"/>
      <c r="Y58" s="126"/>
      <c r="AC58" s="126"/>
      <c r="AG58" s="126"/>
      <c r="AK58" s="126"/>
      <c r="AO58" s="126"/>
      <c r="AS58" s="126"/>
      <c r="AW58" s="126"/>
      <c r="BA58" s="126"/>
      <c r="BE58" s="126"/>
      <c r="BI58" s="126"/>
      <c r="BM58" s="126"/>
      <c r="BQ58" s="126"/>
      <c r="BU58" s="126"/>
      <c r="BY58" s="126"/>
      <c r="CC58" s="126"/>
      <c r="CG58" s="126"/>
      <c r="CK58" s="126"/>
    </row>
    <row r="59" spans="2:89" ht="13.5" customHeight="1" x14ac:dyDescent="0.2">
      <c r="B59" s="324"/>
      <c r="M59" s="126"/>
      <c r="Q59" s="126"/>
      <c r="U59" s="126"/>
      <c r="Y59" s="126"/>
      <c r="AC59" s="126"/>
      <c r="AG59" s="126"/>
      <c r="AK59" s="126"/>
      <c r="AO59" s="126"/>
      <c r="AS59" s="126"/>
      <c r="AW59" s="126"/>
      <c r="BA59" s="126"/>
      <c r="BE59" s="126"/>
      <c r="BI59" s="126"/>
      <c r="BM59" s="126"/>
      <c r="BQ59" s="126"/>
      <c r="BU59" s="126"/>
      <c r="BY59" s="126"/>
      <c r="CC59" s="126"/>
      <c r="CG59" s="126"/>
      <c r="CK59" s="126"/>
    </row>
    <row r="60" spans="2:89" ht="13.5" customHeight="1" x14ac:dyDescent="0.2">
      <c r="B60" s="324"/>
      <c r="M60" s="126"/>
      <c r="Q60" s="126"/>
      <c r="U60" s="126"/>
      <c r="Y60" s="126"/>
      <c r="AC60" s="126"/>
      <c r="AG60" s="126"/>
      <c r="AK60" s="126"/>
      <c r="AO60" s="126"/>
      <c r="AS60" s="126"/>
      <c r="AW60" s="126"/>
      <c r="BA60" s="126"/>
      <c r="BE60" s="126"/>
      <c r="BI60" s="126"/>
      <c r="BM60" s="126"/>
      <c r="BQ60" s="126"/>
      <c r="BU60" s="126"/>
      <c r="BY60" s="126"/>
      <c r="CC60" s="126"/>
      <c r="CG60" s="126"/>
      <c r="CK60" s="126"/>
    </row>
    <row r="61" spans="2:89" ht="13.5" customHeight="1" x14ac:dyDescent="0.2">
      <c r="B61" s="324"/>
      <c r="M61" s="126"/>
      <c r="Q61" s="126"/>
      <c r="U61" s="126"/>
      <c r="Y61" s="126"/>
      <c r="AC61" s="126"/>
      <c r="AG61" s="126"/>
      <c r="AK61" s="126"/>
      <c r="AO61" s="126"/>
      <c r="AS61" s="126"/>
      <c r="AW61" s="126"/>
      <c r="BA61" s="126"/>
      <c r="BE61" s="126"/>
      <c r="BI61" s="126"/>
      <c r="BM61" s="126"/>
      <c r="BQ61" s="126"/>
      <c r="BU61" s="126"/>
      <c r="BY61" s="126"/>
      <c r="CC61" s="126"/>
      <c r="CG61" s="126"/>
      <c r="CK61" s="126"/>
    </row>
    <row r="62" spans="2:89" ht="13.5" customHeight="1" x14ac:dyDescent="0.2">
      <c r="B62" s="324"/>
      <c r="F62" s="353"/>
      <c r="M62" s="126"/>
      <c r="Q62" s="126"/>
      <c r="U62" s="126"/>
      <c r="Y62" s="126"/>
      <c r="AC62" s="126"/>
      <c r="AG62" s="126"/>
      <c r="AK62" s="126"/>
      <c r="AO62" s="126"/>
      <c r="AS62" s="126"/>
      <c r="AW62" s="126"/>
      <c r="BA62" s="126"/>
      <c r="BE62" s="126"/>
      <c r="BI62" s="126"/>
      <c r="BM62" s="126"/>
      <c r="BQ62" s="126"/>
      <c r="BU62" s="126"/>
      <c r="BY62" s="126"/>
      <c r="CC62" s="126"/>
      <c r="CG62" s="126"/>
      <c r="CK62" s="126"/>
    </row>
    <row r="63" spans="2:89" ht="13.5" customHeight="1" x14ac:dyDescent="0.2">
      <c r="B63" s="324"/>
      <c r="M63" s="126"/>
      <c r="Q63" s="126"/>
      <c r="U63" s="126"/>
      <c r="Y63" s="126"/>
      <c r="AC63" s="126"/>
      <c r="AG63" s="126"/>
      <c r="AK63" s="126"/>
      <c r="AO63" s="126"/>
      <c r="AS63" s="126"/>
      <c r="AW63" s="126"/>
      <c r="BA63" s="126"/>
      <c r="BE63" s="126"/>
      <c r="BI63" s="126"/>
      <c r="BM63" s="126"/>
      <c r="BQ63" s="126"/>
      <c r="BU63" s="126"/>
      <c r="BY63" s="126"/>
      <c r="CC63" s="126"/>
      <c r="CG63" s="126"/>
      <c r="CK63" s="126"/>
    </row>
    <row r="64" spans="2:89" ht="13.5" customHeight="1" x14ac:dyDescent="0.2">
      <c r="B64" s="324"/>
      <c r="M64" s="126"/>
      <c r="Q64" s="126"/>
      <c r="U64" s="126"/>
      <c r="Y64" s="126"/>
      <c r="AC64" s="126"/>
      <c r="AG64" s="126"/>
      <c r="AK64" s="126"/>
      <c r="AO64" s="126"/>
      <c r="AS64" s="126"/>
      <c r="AW64" s="126"/>
      <c r="BA64" s="126"/>
      <c r="BE64" s="126"/>
      <c r="BI64" s="126"/>
      <c r="BM64" s="126"/>
      <c r="BQ64" s="126"/>
      <c r="BU64" s="126"/>
      <c r="BY64" s="126"/>
      <c r="CC64" s="126"/>
      <c r="CG64" s="126"/>
      <c r="CK64" s="126"/>
    </row>
    <row r="65" spans="2:89" ht="13.5" customHeight="1" x14ac:dyDescent="0.2">
      <c r="B65" s="324"/>
      <c r="M65" s="126"/>
      <c r="Q65" s="126"/>
      <c r="U65" s="126"/>
      <c r="Y65" s="126"/>
      <c r="AC65" s="126"/>
      <c r="AG65" s="126"/>
      <c r="AK65" s="126"/>
      <c r="AO65" s="126"/>
      <c r="AS65" s="126"/>
      <c r="AW65" s="126"/>
      <c r="BA65" s="126"/>
      <c r="BE65" s="126"/>
      <c r="BI65" s="126"/>
      <c r="BM65" s="126"/>
      <c r="BQ65" s="126"/>
      <c r="BU65" s="126"/>
      <c r="BY65" s="126"/>
      <c r="CC65" s="126"/>
      <c r="CG65" s="126"/>
      <c r="CK65" s="126"/>
    </row>
    <row r="66" spans="2:89" ht="13.5" customHeight="1" x14ac:dyDescent="0.2">
      <c r="B66" s="324"/>
      <c r="M66" s="126"/>
      <c r="Q66" s="126"/>
      <c r="U66" s="126"/>
      <c r="Y66" s="126"/>
      <c r="AC66" s="126"/>
      <c r="AG66" s="126"/>
      <c r="AK66" s="126"/>
      <c r="AO66" s="126"/>
      <c r="AS66" s="126"/>
      <c r="AW66" s="126"/>
      <c r="BA66" s="126"/>
      <c r="BE66" s="126"/>
      <c r="BI66" s="126"/>
      <c r="BM66" s="126"/>
      <c r="BQ66" s="126"/>
      <c r="BU66" s="126"/>
      <c r="BY66" s="126"/>
      <c r="CC66" s="126"/>
      <c r="CG66" s="126"/>
      <c r="CK66" s="126"/>
    </row>
    <row r="67" spans="2:89" ht="13.5" customHeight="1" x14ac:dyDescent="0.2">
      <c r="B67" s="324"/>
      <c r="M67" s="126"/>
      <c r="Q67" s="126"/>
      <c r="U67" s="126"/>
      <c r="Y67" s="126"/>
      <c r="AC67" s="126"/>
      <c r="AG67" s="126"/>
      <c r="AK67" s="126"/>
      <c r="AO67" s="126"/>
      <c r="AS67" s="126"/>
      <c r="AW67" s="126"/>
      <c r="BA67" s="126"/>
      <c r="BE67" s="126"/>
      <c r="BI67" s="126"/>
      <c r="BM67" s="126"/>
      <c r="BQ67" s="126"/>
      <c r="BU67" s="126"/>
      <c r="BY67" s="126"/>
      <c r="CC67" s="126"/>
      <c r="CG67" s="126"/>
      <c r="CK67" s="126"/>
    </row>
    <row r="68" spans="2:89" ht="13.5" customHeight="1" x14ac:dyDescent="0.2">
      <c r="B68" s="324"/>
      <c r="M68" s="126"/>
      <c r="Q68" s="126"/>
      <c r="U68" s="126"/>
      <c r="Y68" s="126"/>
      <c r="AC68" s="126"/>
      <c r="AG68" s="126"/>
      <c r="AK68" s="126"/>
      <c r="AO68" s="126"/>
      <c r="AS68" s="126"/>
      <c r="AW68" s="126"/>
      <c r="BA68" s="126"/>
      <c r="BE68" s="126"/>
      <c r="BI68" s="126"/>
      <c r="BM68" s="126"/>
      <c r="BQ68" s="126"/>
      <c r="BU68" s="126"/>
      <c r="BY68" s="126"/>
      <c r="CC68" s="126"/>
      <c r="CG68" s="126"/>
      <c r="CK68" s="126"/>
    </row>
    <row r="69" spans="2:89" ht="13.5" customHeight="1" x14ac:dyDescent="0.2">
      <c r="B69" s="324"/>
      <c r="M69" s="126"/>
      <c r="Q69" s="126"/>
      <c r="U69" s="126"/>
      <c r="Y69" s="126"/>
      <c r="AC69" s="126"/>
      <c r="AG69" s="126"/>
      <c r="AK69" s="126"/>
      <c r="AO69" s="126"/>
      <c r="AS69" s="126"/>
      <c r="AW69" s="126"/>
      <c r="BA69" s="126"/>
      <c r="BE69" s="126"/>
      <c r="BI69" s="126"/>
      <c r="BM69" s="126"/>
      <c r="BQ69" s="126"/>
      <c r="BU69" s="126"/>
      <c r="BY69" s="126"/>
      <c r="CC69" s="126"/>
      <c r="CG69" s="126"/>
      <c r="CK69" s="126"/>
    </row>
    <row r="70" spans="2:89" ht="13.5" customHeight="1" x14ac:dyDescent="0.2">
      <c r="B70" s="324"/>
      <c r="M70" s="126"/>
      <c r="Q70" s="126"/>
      <c r="U70" s="126"/>
      <c r="Y70" s="126"/>
      <c r="AC70" s="126"/>
      <c r="AG70" s="126"/>
      <c r="AK70" s="126"/>
      <c r="AO70" s="126"/>
      <c r="AS70" s="126"/>
      <c r="AW70" s="126"/>
      <c r="BA70" s="126"/>
      <c r="BE70" s="126"/>
      <c r="BI70" s="126"/>
      <c r="BM70" s="126"/>
      <c r="BQ70" s="126"/>
      <c r="BU70" s="126"/>
      <c r="BY70" s="126"/>
      <c r="CC70" s="126"/>
      <c r="CG70" s="126"/>
      <c r="CK70" s="126"/>
    </row>
    <row r="71" spans="2:89" ht="13.5" customHeight="1" x14ac:dyDescent="0.2">
      <c r="B71" s="324"/>
      <c r="M71" s="126"/>
      <c r="Q71" s="126"/>
      <c r="U71" s="126"/>
      <c r="Y71" s="126"/>
      <c r="AC71" s="126"/>
      <c r="AG71" s="126"/>
      <c r="AK71" s="126"/>
      <c r="AO71" s="126"/>
      <c r="AS71" s="126"/>
      <c r="AW71" s="126"/>
      <c r="BA71" s="126"/>
      <c r="BE71" s="126"/>
      <c r="BI71" s="126"/>
      <c r="BM71" s="126"/>
      <c r="BQ71" s="126"/>
      <c r="BU71" s="126"/>
      <c r="BY71" s="126"/>
      <c r="CC71" s="126"/>
      <c r="CG71" s="126"/>
      <c r="CK71" s="126"/>
    </row>
    <row r="72" spans="2:89" ht="13.5" customHeight="1" x14ac:dyDescent="0.2">
      <c r="B72" s="324"/>
      <c r="M72" s="126"/>
      <c r="Q72" s="126"/>
      <c r="U72" s="126"/>
      <c r="Y72" s="126"/>
      <c r="AC72" s="126"/>
      <c r="AG72" s="126"/>
      <c r="AK72" s="126"/>
      <c r="AO72" s="126"/>
      <c r="AS72" s="126"/>
      <c r="AW72" s="126"/>
      <c r="BA72" s="126"/>
      <c r="BE72" s="126"/>
      <c r="BI72" s="126"/>
      <c r="BM72" s="126"/>
      <c r="BQ72" s="126"/>
      <c r="BU72" s="126"/>
      <c r="BY72" s="126"/>
      <c r="CC72" s="126"/>
      <c r="CG72" s="126"/>
      <c r="CK72" s="126"/>
    </row>
    <row r="73" spans="2:89" ht="13.5" customHeight="1" x14ac:dyDescent="0.2">
      <c r="B73" s="324"/>
      <c r="M73" s="126"/>
      <c r="Q73" s="126"/>
      <c r="U73" s="126"/>
      <c r="Y73" s="126"/>
      <c r="AC73" s="126"/>
      <c r="AG73" s="126"/>
      <c r="AK73" s="126"/>
      <c r="AO73" s="126"/>
      <c r="AS73" s="126"/>
      <c r="AW73" s="126"/>
      <c r="BA73" s="126"/>
      <c r="BE73" s="126"/>
      <c r="BI73" s="126"/>
      <c r="BM73" s="126"/>
      <c r="BQ73" s="126"/>
      <c r="BU73" s="126"/>
      <c r="BY73" s="126"/>
      <c r="CC73" s="126"/>
      <c r="CG73" s="126"/>
      <c r="CK73" s="126"/>
    </row>
    <row r="74" spans="2:89" ht="13.5" customHeight="1" x14ac:dyDescent="0.2">
      <c r="B74" s="324"/>
      <c r="M74" s="126"/>
      <c r="Q74" s="126"/>
      <c r="U74" s="126"/>
      <c r="Y74" s="126"/>
      <c r="AC74" s="126"/>
      <c r="AG74" s="126"/>
      <c r="AK74" s="126"/>
      <c r="AO74" s="126"/>
      <c r="AS74" s="126"/>
      <c r="AW74" s="126"/>
      <c r="BA74" s="126"/>
      <c r="BE74" s="126"/>
      <c r="BI74" s="126"/>
      <c r="BM74" s="126"/>
      <c r="BQ74" s="126"/>
      <c r="BU74" s="126"/>
      <c r="BY74" s="126"/>
      <c r="CC74" s="126"/>
      <c r="CG74" s="126"/>
      <c r="CK74" s="126"/>
    </row>
    <row r="75" spans="2:89" ht="13.5" customHeight="1" x14ac:dyDescent="0.2">
      <c r="B75" s="324"/>
      <c r="M75" s="126"/>
      <c r="Q75" s="126"/>
      <c r="U75" s="126"/>
      <c r="Y75" s="126"/>
      <c r="AC75" s="126"/>
      <c r="AG75" s="126"/>
      <c r="AK75" s="126"/>
      <c r="AO75" s="126"/>
      <c r="AS75" s="126"/>
      <c r="AW75" s="126"/>
      <c r="BA75" s="126"/>
      <c r="BE75" s="126"/>
      <c r="BI75" s="126"/>
      <c r="BM75" s="126"/>
      <c r="BQ75" s="126"/>
      <c r="BU75" s="126"/>
      <c r="BY75" s="126"/>
      <c r="CC75" s="126"/>
      <c r="CG75" s="126"/>
      <c r="CK75" s="126"/>
    </row>
    <row r="76" spans="2:89" ht="13.5" customHeight="1" x14ac:dyDescent="0.2">
      <c r="B76" s="324"/>
      <c r="M76" s="126"/>
      <c r="Q76" s="126"/>
      <c r="U76" s="126"/>
      <c r="Y76" s="126"/>
      <c r="AC76" s="126"/>
      <c r="AG76" s="126"/>
      <c r="AK76" s="126"/>
      <c r="AO76" s="126"/>
      <c r="AS76" s="126"/>
      <c r="AW76" s="126"/>
      <c r="BA76" s="126"/>
      <c r="BE76" s="126"/>
      <c r="BI76" s="126"/>
      <c r="BM76" s="126"/>
      <c r="BQ76" s="126"/>
      <c r="BU76" s="126"/>
      <c r="BY76" s="126"/>
      <c r="CC76" s="126"/>
      <c r="CG76" s="126"/>
      <c r="CK76" s="126"/>
    </row>
    <row r="77" spans="2:89" ht="13.5" customHeight="1" x14ac:dyDescent="0.2">
      <c r="B77" s="324"/>
      <c r="M77" s="126"/>
      <c r="Q77" s="126"/>
      <c r="U77" s="126"/>
      <c r="Y77" s="126"/>
      <c r="AC77" s="126"/>
      <c r="AG77" s="126"/>
      <c r="AK77" s="126"/>
      <c r="AO77" s="126"/>
      <c r="AS77" s="126"/>
      <c r="AW77" s="126"/>
      <c r="BA77" s="126"/>
      <c r="BE77" s="126"/>
      <c r="BI77" s="126"/>
      <c r="BM77" s="126"/>
      <c r="BQ77" s="126"/>
      <c r="BU77" s="126"/>
      <c r="BY77" s="126"/>
      <c r="CC77" s="126"/>
      <c r="CG77" s="126"/>
      <c r="CK77" s="126"/>
    </row>
    <row r="78" spans="2:89" ht="13.5" customHeight="1" x14ac:dyDescent="0.2">
      <c r="B78" s="324"/>
      <c r="M78" s="126"/>
      <c r="Q78" s="126"/>
      <c r="U78" s="126"/>
      <c r="Y78" s="126"/>
      <c r="AC78" s="126"/>
      <c r="AG78" s="126"/>
      <c r="AK78" s="126"/>
      <c r="AO78" s="126"/>
      <c r="AS78" s="126"/>
      <c r="AW78" s="126"/>
      <c r="BA78" s="126"/>
      <c r="BE78" s="126"/>
      <c r="BI78" s="126"/>
      <c r="BM78" s="126"/>
      <c r="BQ78" s="126"/>
      <c r="BU78" s="126"/>
      <c r="BY78" s="126"/>
      <c r="CC78" s="126"/>
      <c r="CG78" s="126"/>
      <c r="CK78" s="126"/>
    </row>
    <row r="79" spans="2:89" ht="13.5" customHeight="1" x14ac:dyDescent="0.2">
      <c r="B79" s="324"/>
      <c r="M79" s="126"/>
      <c r="Q79" s="126"/>
      <c r="U79" s="126"/>
      <c r="Y79" s="126"/>
      <c r="AC79" s="126"/>
      <c r="AG79" s="126"/>
      <c r="AK79" s="126"/>
      <c r="AO79" s="126"/>
      <c r="AS79" s="126"/>
      <c r="AW79" s="126"/>
      <c r="BA79" s="126"/>
      <c r="BE79" s="126"/>
      <c r="BI79" s="126"/>
      <c r="BM79" s="126"/>
      <c r="BQ79" s="126"/>
      <c r="BU79" s="126"/>
      <c r="BY79" s="126"/>
      <c r="CC79" s="126"/>
      <c r="CG79" s="126"/>
      <c r="CK79" s="126"/>
    </row>
    <row r="80" spans="2:89" ht="13.5" customHeight="1" x14ac:dyDescent="0.2">
      <c r="B80" s="324"/>
      <c r="M80" s="126"/>
      <c r="Q80" s="126"/>
      <c r="U80" s="126"/>
      <c r="Y80" s="126"/>
      <c r="AC80" s="126"/>
      <c r="AG80" s="126"/>
      <c r="AK80" s="126"/>
      <c r="AO80" s="126"/>
      <c r="AS80" s="126"/>
      <c r="AW80" s="126"/>
      <c r="BA80" s="126"/>
      <c r="BE80" s="126"/>
      <c r="BI80" s="126"/>
      <c r="BM80" s="126"/>
      <c r="BQ80" s="126"/>
      <c r="BU80" s="126"/>
      <c r="BY80" s="126"/>
      <c r="CC80" s="126"/>
      <c r="CG80" s="126"/>
      <c r="CK80" s="126"/>
    </row>
    <row r="81" spans="2:89" ht="13.5" customHeight="1" x14ac:dyDescent="0.2">
      <c r="B81" s="324"/>
      <c r="M81" s="126"/>
      <c r="Q81" s="126"/>
      <c r="U81" s="126"/>
      <c r="Y81" s="126"/>
      <c r="AC81" s="126"/>
      <c r="AG81" s="126"/>
      <c r="AK81" s="126"/>
      <c r="AO81" s="126"/>
      <c r="AS81" s="126"/>
      <c r="AW81" s="126"/>
      <c r="BA81" s="126"/>
      <c r="BE81" s="126"/>
      <c r="BI81" s="126"/>
      <c r="BM81" s="126"/>
      <c r="BQ81" s="126"/>
      <c r="BU81" s="126"/>
      <c r="BY81" s="126"/>
      <c r="CC81" s="126"/>
      <c r="CG81" s="126"/>
      <c r="CK81" s="126"/>
    </row>
    <row r="82" spans="2:89" ht="13.5" customHeight="1" x14ac:dyDescent="0.2">
      <c r="B82" s="324"/>
      <c r="M82" s="126"/>
      <c r="Q82" s="126"/>
      <c r="U82" s="126"/>
      <c r="Y82" s="126"/>
      <c r="AC82" s="126"/>
      <c r="AG82" s="126"/>
      <c r="AK82" s="126"/>
      <c r="AO82" s="126"/>
      <c r="AS82" s="126"/>
      <c r="AW82" s="126"/>
      <c r="BA82" s="126"/>
      <c r="BE82" s="126"/>
      <c r="BI82" s="126"/>
      <c r="BM82" s="126"/>
      <c r="BQ82" s="126"/>
      <c r="BU82" s="126"/>
      <c r="BY82" s="126"/>
      <c r="CC82" s="126"/>
      <c r="CG82" s="126"/>
      <c r="CK82" s="126"/>
    </row>
    <row r="83" spans="2:89" ht="13.5" customHeight="1" x14ac:dyDescent="0.2">
      <c r="B83" s="324"/>
      <c r="M83" s="126"/>
      <c r="Q83" s="126"/>
      <c r="U83" s="126"/>
      <c r="Y83" s="126"/>
      <c r="AC83" s="126"/>
      <c r="AG83" s="126"/>
      <c r="AK83" s="126"/>
      <c r="AO83" s="126"/>
      <c r="AS83" s="126"/>
      <c r="AW83" s="126"/>
      <c r="BA83" s="126"/>
      <c r="BE83" s="126"/>
      <c r="BI83" s="126"/>
      <c r="BM83" s="126"/>
      <c r="BQ83" s="126"/>
      <c r="BU83" s="126"/>
      <c r="BY83" s="126"/>
      <c r="CC83" s="126"/>
      <c r="CG83" s="126"/>
      <c r="CK83" s="126"/>
    </row>
    <row r="84" spans="2:89" ht="13.5" customHeight="1" x14ac:dyDescent="0.2">
      <c r="B84" s="324"/>
      <c r="M84" s="126"/>
      <c r="Q84" s="126"/>
      <c r="U84" s="126"/>
      <c r="Y84" s="126"/>
      <c r="AC84" s="126"/>
      <c r="AG84" s="126"/>
      <c r="AK84" s="126"/>
      <c r="AO84" s="126"/>
      <c r="AS84" s="126"/>
      <c r="AW84" s="126"/>
      <c r="BA84" s="126"/>
      <c r="BE84" s="126"/>
      <c r="BI84" s="126"/>
      <c r="BM84" s="126"/>
      <c r="BQ84" s="126"/>
      <c r="BU84" s="126"/>
      <c r="BY84" s="126"/>
      <c r="CC84" s="126"/>
      <c r="CG84" s="126"/>
      <c r="CK84" s="126"/>
    </row>
    <row r="85" spans="2:89" ht="13.5" customHeight="1" x14ac:dyDescent="0.2">
      <c r="B85" s="324"/>
      <c r="M85" s="126"/>
      <c r="Q85" s="126"/>
      <c r="U85" s="126"/>
      <c r="Y85" s="126"/>
      <c r="AC85" s="126"/>
      <c r="AG85" s="126"/>
      <c r="AK85" s="126"/>
      <c r="AO85" s="126"/>
      <c r="AS85" s="126"/>
      <c r="AW85" s="126"/>
      <c r="BA85" s="126"/>
      <c r="BE85" s="126"/>
      <c r="BI85" s="126"/>
      <c r="BM85" s="126"/>
      <c r="BQ85" s="126"/>
      <c r="BU85" s="126"/>
      <c r="BY85" s="126"/>
      <c r="CC85" s="126"/>
      <c r="CG85" s="126"/>
      <c r="CK85" s="126"/>
    </row>
    <row r="86" spans="2:89" ht="13.5" customHeight="1" x14ac:dyDescent="0.2">
      <c r="B86" s="324"/>
      <c r="M86" s="126"/>
      <c r="Q86" s="126"/>
      <c r="U86" s="126"/>
      <c r="Y86" s="126"/>
      <c r="AC86" s="126"/>
      <c r="AG86" s="126"/>
      <c r="AK86" s="126"/>
      <c r="AO86" s="126"/>
      <c r="AS86" s="126"/>
      <c r="AW86" s="126"/>
      <c r="BA86" s="126"/>
      <c r="BE86" s="126"/>
      <c r="BI86" s="126"/>
      <c r="BM86" s="126"/>
      <c r="BQ86" s="126"/>
      <c r="BU86" s="126"/>
      <c r="BY86" s="126"/>
      <c r="CC86" s="126"/>
      <c r="CG86" s="126"/>
      <c r="CK86" s="126"/>
    </row>
    <row r="87" spans="2:89" ht="13.5" customHeight="1" x14ac:dyDescent="0.2">
      <c r="B87" s="324"/>
      <c r="M87" s="126"/>
      <c r="Q87" s="126"/>
      <c r="U87" s="126"/>
      <c r="Y87" s="126"/>
      <c r="AC87" s="126"/>
      <c r="AG87" s="126"/>
      <c r="AK87" s="126"/>
      <c r="AO87" s="126"/>
      <c r="AS87" s="126"/>
      <c r="AW87" s="126"/>
      <c r="BA87" s="126"/>
      <c r="BE87" s="126"/>
      <c r="BI87" s="126"/>
      <c r="BM87" s="126"/>
      <c r="BQ87" s="126"/>
      <c r="BU87" s="126"/>
      <c r="BY87" s="126"/>
      <c r="CC87" s="126"/>
      <c r="CG87" s="126"/>
      <c r="CK87" s="126"/>
    </row>
    <row r="88" spans="2:89" ht="13.5" customHeight="1" x14ac:dyDescent="0.2">
      <c r="B88" s="324"/>
      <c r="M88" s="126"/>
      <c r="Q88" s="126"/>
      <c r="U88" s="126"/>
      <c r="Y88" s="126"/>
      <c r="AC88" s="126"/>
      <c r="AG88" s="126"/>
      <c r="AK88" s="126"/>
      <c r="AO88" s="126"/>
      <c r="AS88" s="126"/>
      <c r="AW88" s="126"/>
      <c r="BA88" s="126"/>
      <c r="BE88" s="126"/>
      <c r="BI88" s="126"/>
      <c r="BM88" s="126"/>
      <c r="BQ88" s="126"/>
      <c r="BU88" s="126"/>
      <c r="BY88" s="126"/>
      <c r="CC88" s="126"/>
      <c r="CG88" s="126"/>
      <c r="CK88" s="126"/>
    </row>
    <row r="89" spans="2:89" ht="13.5" customHeight="1" x14ac:dyDescent="0.2">
      <c r="B89" s="324"/>
      <c r="M89" s="126"/>
      <c r="Q89" s="126"/>
      <c r="U89" s="126"/>
      <c r="Y89" s="126"/>
      <c r="AC89" s="126"/>
      <c r="AG89" s="126"/>
      <c r="AK89" s="126"/>
      <c r="AO89" s="126"/>
      <c r="AS89" s="126"/>
      <c r="AW89" s="126"/>
      <c r="BA89" s="126"/>
      <c r="BE89" s="126"/>
      <c r="BI89" s="126"/>
      <c r="BM89" s="126"/>
      <c r="BQ89" s="126"/>
      <c r="BU89" s="126"/>
      <c r="BY89" s="126"/>
      <c r="CC89" s="126"/>
      <c r="CG89" s="126"/>
      <c r="CK89" s="126"/>
    </row>
    <row r="90" spans="2:89" ht="13.5" customHeight="1" x14ac:dyDescent="0.2">
      <c r="B90" s="324"/>
      <c r="M90" s="126"/>
      <c r="Q90" s="126"/>
      <c r="U90" s="126"/>
      <c r="Y90" s="126"/>
      <c r="AC90" s="126"/>
      <c r="AG90" s="126"/>
      <c r="AK90" s="126"/>
      <c r="AO90" s="126"/>
      <c r="AS90" s="126"/>
      <c r="AW90" s="126"/>
      <c r="BA90" s="126"/>
      <c r="BE90" s="126"/>
      <c r="BI90" s="126"/>
      <c r="BM90" s="126"/>
      <c r="BQ90" s="126"/>
      <c r="BU90" s="126"/>
      <c r="BY90" s="126"/>
      <c r="CC90" s="126"/>
      <c r="CG90" s="126"/>
      <c r="CK90" s="126"/>
    </row>
    <row r="91" spans="2:89" x14ac:dyDescent="0.2">
      <c r="B91" s="129"/>
      <c r="C91" s="129"/>
    </row>
    <row r="92" spans="2:89" x14ac:dyDescent="0.2">
      <c r="B92" s="324"/>
    </row>
    <row r="106" spans="1:104" ht="13.5" customHeight="1" x14ac:dyDescent="0.2">
      <c r="A106" s="126"/>
      <c r="CL106" s="345"/>
      <c r="CM106" s="345"/>
      <c r="CN106" s="345"/>
      <c r="CO106" s="351"/>
      <c r="CP106" s="345"/>
      <c r="CQ106" s="345"/>
      <c r="CR106" s="345"/>
      <c r="CS106" s="351"/>
      <c r="CT106" s="351"/>
      <c r="CU106" s="351"/>
      <c r="CV106" s="351"/>
      <c r="CW106" s="129"/>
      <c r="CX106" s="129"/>
      <c r="CY106" s="129"/>
      <c r="CZ106" s="129"/>
    </row>
    <row r="107" spans="1:104" ht="13.5" customHeight="1" x14ac:dyDescent="0.2">
      <c r="A107" s="126"/>
      <c r="CL107" s="345"/>
      <c r="CM107" s="345"/>
      <c r="CN107" s="345"/>
      <c r="CO107" s="351"/>
      <c r="CP107" s="345"/>
      <c r="CQ107" s="345"/>
      <c r="CR107" s="345"/>
      <c r="CS107" s="351"/>
      <c r="CT107" s="351"/>
      <c r="CU107" s="351"/>
      <c r="CV107" s="351"/>
      <c r="CW107" s="129"/>
      <c r="CX107" s="129"/>
      <c r="CY107" s="129"/>
      <c r="CZ107" s="129"/>
    </row>
    <row r="108" spans="1:104" ht="13.5" customHeight="1" x14ac:dyDescent="0.2">
      <c r="A108" s="126"/>
      <c r="CL108" s="345"/>
      <c r="CM108" s="345"/>
      <c r="CN108" s="345"/>
      <c r="CO108" s="351"/>
      <c r="CP108" s="345"/>
      <c r="CQ108" s="345"/>
      <c r="CR108" s="345"/>
      <c r="CS108" s="351"/>
      <c r="CT108" s="351"/>
      <c r="CU108" s="351"/>
      <c r="CV108" s="351"/>
      <c r="CW108" s="129"/>
      <c r="CX108" s="129"/>
      <c r="CY108" s="129"/>
      <c r="CZ108" s="129"/>
    </row>
  </sheetData>
  <sortState xmlns:xlrd2="http://schemas.microsoft.com/office/spreadsheetml/2017/richdata2" ref="A14:CZ20">
    <sortCondition descending="1" ref="H14:H20"/>
    <sortCondition ref="B14:B20"/>
  </sortState>
  <mergeCells count="2">
    <mergeCell ref="B51:E51"/>
    <mergeCell ref="B52:C52"/>
  </mergeCells>
  <phoneticPr fontId="9" type="noConversion"/>
  <pageMargins left="0.75" right="0.75" top="1" bottom="1" header="0.5" footer="0.5"/>
  <pageSetup paperSize="9" orientation="portrait" horizontalDpi="4294967293" verticalDpi="0" r:id="rId1"/>
  <headerFooter alignWithMargins="0"/>
  <ignoredErrors>
    <ignoredError sqref="AW4 AW2 AL2:AV2 AK2 AK4 DB2:IV4 CO48:IV58 CH2:CJ2 B48:B53 B56:B58 CO4 DA2:DA4 A48:A58 CO2 CH48:CJ58 B109:CF65556 CP2:CZ4 A66:A65556 CG66:CJ65556 B66:CF98 B2:C3 I2:AJ2 BZ4 BZ2 CA2:CC4 CD4 CD2 CE2:CG4 C48:CG58 A2:A4 D2:G4 AX2:BQ2 BR4 BR2 BS2:BU4 BW2:BY4 BV2 BV4 I4:AJ4 I3:Q3 S3:U3 W3:Y3 AA3:AC3 AE3:AG3 AI3:AJ3 AL4:AV4 AM3:AO3 AQ3:AS3 AU3:AV3 AX4:BQ4 AY3:BA3 BC3:BE3 BG3:BI3 BK3:BM3 BO3:BQ3 C21:G21 I21:CG21 CO66:IV65556 C22:CG22 CH22:CJ22 A21:A22 B21:B22 CO21:IV22" evalError="1" formula="1"/>
    <ignoredError sqref="B4:C4 A59:CJ65 B99:CF108 B54:B55 CO3 AK3 AW3 DA5:IV5 CO59:IV65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G14"/>
  <sheetViews>
    <sheetView showRowColHeaders="0" workbookViewId="0"/>
  </sheetViews>
  <sheetFormatPr defaultColWidth="9.140625" defaultRowHeight="12.75" x14ac:dyDescent="0.2"/>
  <cols>
    <col min="1" max="1" width="1.85546875" style="2" customWidth="1"/>
    <col min="2" max="2" width="4.7109375" style="2" customWidth="1"/>
    <col min="3" max="3" width="5.28515625" style="2" customWidth="1"/>
    <col min="4" max="6" width="21.28515625" style="2" customWidth="1"/>
    <col min="7" max="7" width="35" style="2" customWidth="1"/>
    <col min="8" max="16384" width="9.140625" style="2"/>
  </cols>
  <sheetData>
    <row r="1" spans="2:7" ht="13.5" customHeight="1" x14ac:dyDescent="0.2"/>
    <row r="2" spans="2:7" ht="13.5" customHeight="1" x14ac:dyDescent="0.2">
      <c r="B2" s="477" t="s">
        <v>104</v>
      </c>
      <c r="C2" s="478"/>
      <c r="D2" s="478"/>
      <c r="E2" s="479"/>
      <c r="F2" s="480"/>
    </row>
    <row r="3" spans="2:7" ht="3" customHeight="1" x14ac:dyDescent="0.2">
      <c r="B3" s="39"/>
      <c r="C3" s="40"/>
      <c r="D3" s="40"/>
      <c r="E3" s="40"/>
      <c r="F3" s="40"/>
    </row>
    <row r="4" spans="2:7" ht="13.5" customHeight="1" x14ac:dyDescent="0.2">
      <c r="B4" s="41" t="s">
        <v>105</v>
      </c>
      <c r="C4" s="41" t="s">
        <v>106</v>
      </c>
      <c r="D4" s="481" t="s">
        <v>107</v>
      </c>
      <c r="E4" s="482"/>
      <c r="F4" s="3" t="s">
        <v>108</v>
      </c>
    </row>
    <row r="5" spans="2:7" ht="13.5" customHeight="1" x14ac:dyDescent="0.2">
      <c r="B5" s="42">
        <v>1</v>
      </c>
      <c r="C5" s="43"/>
      <c r="D5" s="44"/>
      <c r="E5" s="45"/>
      <c r="F5" s="45"/>
      <c r="G5" s="46"/>
    </row>
    <row r="6" spans="2:7" ht="13.5" customHeight="1" x14ac:dyDescent="0.2">
      <c r="B6" s="47">
        <v>2</v>
      </c>
      <c r="C6" s="33"/>
      <c r="D6" s="44"/>
      <c r="E6" s="44"/>
      <c r="F6" s="81"/>
      <c r="G6" s="48"/>
    </row>
    <row r="7" spans="2:7" ht="13.5" customHeight="1" x14ac:dyDescent="0.2">
      <c r="B7" s="47">
        <v>3</v>
      </c>
      <c r="C7" s="33"/>
      <c r="D7" s="44"/>
      <c r="E7" s="44"/>
      <c r="F7" s="81"/>
    </row>
    <row r="8" spans="2:7" ht="13.5" customHeight="1" x14ac:dyDescent="0.2">
      <c r="B8" s="47">
        <v>4</v>
      </c>
      <c r="C8" s="33"/>
      <c r="D8" s="44"/>
      <c r="E8" s="44"/>
      <c r="F8" s="81"/>
      <c r="G8" s="46"/>
    </row>
    <row r="9" spans="2:7" ht="13.5" customHeight="1" x14ac:dyDescent="0.2">
      <c r="B9" s="47">
        <v>5</v>
      </c>
      <c r="C9" s="33"/>
      <c r="D9" s="44"/>
      <c r="E9" s="44"/>
      <c r="F9" s="81"/>
      <c r="G9" s="48"/>
    </row>
    <row r="10" spans="2:7" ht="13.5" customHeight="1" x14ac:dyDescent="0.2">
      <c r="B10" s="47">
        <v>6</v>
      </c>
      <c r="C10" s="33"/>
      <c r="D10" s="44"/>
      <c r="E10" s="44"/>
      <c r="F10" s="81"/>
      <c r="G10" s="49"/>
    </row>
    <row r="11" spans="2:7" ht="13.5" customHeight="1" x14ac:dyDescent="0.2">
      <c r="B11" s="47">
        <v>7</v>
      </c>
      <c r="C11" s="33"/>
      <c r="D11" s="44"/>
      <c r="E11" s="45"/>
      <c r="F11" s="45"/>
    </row>
    <row r="12" spans="2:7" ht="13.5" customHeight="1" x14ac:dyDescent="0.2">
      <c r="B12" s="47">
        <v>8</v>
      </c>
      <c r="C12" s="33"/>
      <c r="D12" s="44"/>
      <c r="E12" s="44"/>
      <c r="F12" s="81"/>
    </row>
    <row r="13" spans="2:7" ht="13.5" customHeight="1" x14ac:dyDescent="0.2">
      <c r="B13" s="47">
        <v>9</v>
      </c>
      <c r="C13" s="33"/>
      <c r="D13" s="44"/>
      <c r="E13" s="44"/>
      <c r="F13" s="81"/>
    </row>
    <row r="14" spans="2:7" ht="13.5" customHeight="1" x14ac:dyDescent="0.2">
      <c r="B14" s="50">
        <v>10</v>
      </c>
      <c r="C14" s="51"/>
      <c r="D14" s="52"/>
      <c r="E14" s="52"/>
      <c r="F14" s="53"/>
      <c r="G14" s="46"/>
    </row>
  </sheetData>
  <mergeCells count="2">
    <mergeCell ref="B2:F2"/>
    <mergeCell ref="D4:E4"/>
  </mergeCells>
  <phoneticPr fontId="9" type="noConversion"/>
  <pageMargins left="0.75" right="0.75" top="1" bottom="1" header="0.5" footer="0.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AN68"/>
  <sheetViews>
    <sheetView zoomScale="85" zoomScaleNormal="85" workbookViewId="0">
      <selection activeCell="A91" sqref="A91"/>
    </sheetView>
  </sheetViews>
  <sheetFormatPr defaultColWidth="9.140625" defaultRowHeight="12.6" customHeight="1" x14ac:dyDescent="0.2"/>
  <cols>
    <col min="1" max="1" width="4.140625" style="125" customWidth="1"/>
    <col min="2" max="2" width="3" style="125" customWidth="1"/>
    <col min="3" max="3" width="20.140625" style="125" customWidth="1"/>
    <col min="4" max="4" width="18.42578125" style="125" bestFit="1" customWidth="1"/>
    <col min="5" max="5" width="6.42578125" style="125" customWidth="1"/>
    <col min="6" max="6" width="3" style="125" customWidth="1"/>
    <col min="7" max="7" width="1.85546875" style="357" customWidth="1"/>
    <col min="8" max="8" width="3" style="125" customWidth="1"/>
    <col min="9" max="9" width="20.140625" style="125" customWidth="1"/>
    <col min="10" max="10" width="16.7109375" style="125" customWidth="1"/>
    <col min="11" max="11" width="5.28515625" style="125" customWidth="1"/>
    <col min="12" max="12" width="3" style="125" customWidth="1"/>
    <col min="13" max="13" width="1.85546875" style="125" customWidth="1"/>
    <col min="14" max="14" width="23" style="125" customWidth="1"/>
    <col min="15" max="16" width="5.28515625" style="125" customWidth="1"/>
    <col min="17" max="17" width="3" style="125" customWidth="1"/>
    <col min="18" max="16384" width="9.140625" style="125"/>
  </cols>
  <sheetData>
    <row r="1" spans="2:40" ht="13.5" customHeight="1" x14ac:dyDescent="0.2"/>
    <row r="2" spans="2:40" ht="13.5" customHeight="1" x14ac:dyDescent="0.2">
      <c r="B2" s="362"/>
      <c r="C2" s="363" t="s">
        <v>16</v>
      </c>
      <c r="D2" s="203"/>
      <c r="E2" s="203"/>
      <c r="F2" s="127"/>
      <c r="G2" s="358"/>
      <c r="H2" s="127"/>
      <c r="I2" s="127"/>
      <c r="J2" s="127"/>
      <c r="K2" s="127"/>
      <c r="L2" s="127"/>
      <c r="M2" s="127"/>
      <c r="N2" s="127"/>
      <c r="O2" s="127"/>
      <c r="P2" s="127"/>
      <c r="Q2" s="116"/>
      <c r="R2" s="116"/>
      <c r="S2" s="116"/>
      <c r="T2" s="116"/>
      <c r="U2" s="116"/>
      <c r="V2" s="116"/>
      <c r="W2" s="116"/>
      <c r="X2" s="116"/>
      <c r="Y2" s="116"/>
      <c r="Z2" s="116"/>
      <c r="AA2" s="116"/>
      <c r="AB2" s="116"/>
      <c r="AC2" s="116"/>
      <c r="AD2" s="116"/>
      <c r="AE2" s="116"/>
      <c r="AF2" s="116"/>
      <c r="AG2" s="116"/>
      <c r="AH2" s="116"/>
      <c r="AI2" s="116"/>
      <c r="AJ2" s="116"/>
      <c r="AK2" s="116"/>
      <c r="AL2" s="116"/>
      <c r="AM2" s="126"/>
      <c r="AN2" s="126"/>
    </row>
    <row r="3" spans="2:40" ht="13.5" customHeight="1" x14ac:dyDescent="0.2">
      <c r="B3" s="366"/>
      <c r="C3" s="367"/>
      <c r="D3" s="367"/>
      <c r="E3" s="367"/>
      <c r="F3" s="368"/>
      <c r="G3" s="124"/>
      <c r="H3" s="387"/>
      <c r="I3" s="388"/>
      <c r="J3" s="388"/>
      <c r="K3" s="389"/>
      <c r="L3" s="368"/>
      <c r="M3" s="127"/>
      <c r="N3" s="188" t="s">
        <v>16</v>
      </c>
      <c r="O3" s="364"/>
      <c r="P3" s="365"/>
      <c r="Q3" s="116"/>
      <c r="R3" s="116"/>
      <c r="S3" s="116"/>
      <c r="T3" s="116"/>
      <c r="U3" s="116"/>
      <c r="V3" s="359"/>
      <c r="W3" s="116"/>
      <c r="X3" s="116"/>
      <c r="Y3" s="116"/>
      <c r="Z3" s="116"/>
      <c r="AA3" s="239"/>
      <c r="AB3" s="359"/>
      <c r="AC3" s="116"/>
      <c r="AD3" s="116"/>
      <c r="AE3" s="116"/>
    </row>
    <row r="4" spans="2:40" ht="13.5" customHeight="1" x14ac:dyDescent="0.2">
      <c r="B4" s="369"/>
      <c r="C4" s="370" t="str">
        <f>Fixtures!B3</f>
        <v>Sun 22 Apr</v>
      </c>
      <c r="D4" s="371"/>
      <c r="E4" s="371"/>
      <c r="F4" s="372"/>
      <c r="G4" s="124"/>
      <c r="H4" s="369"/>
      <c r="I4" s="370" t="str">
        <f>Fixtures!B13</f>
        <v>Sat 30 Jun</v>
      </c>
      <c r="J4" s="371"/>
      <c r="K4" s="371"/>
      <c r="L4" s="390"/>
      <c r="M4" s="127"/>
      <c r="N4" s="158" t="s">
        <v>185</v>
      </c>
      <c r="O4" s="395" t="s">
        <v>188</v>
      </c>
      <c r="P4" s="170">
        <f t="shared" ref="P4:P14" si="0">COUNTIF($D$3:$D$33,$N4)+COUNTIF($J$3:$J$36,$N4)</f>
        <v>3</v>
      </c>
      <c r="Q4" s="116"/>
      <c r="R4" s="116"/>
      <c r="S4" s="116"/>
      <c r="T4" s="116"/>
      <c r="U4" s="116"/>
      <c r="V4" s="359"/>
      <c r="W4" s="116"/>
      <c r="X4" s="116"/>
      <c r="Y4" s="116"/>
      <c r="Z4" s="116"/>
      <c r="AA4" s="239"/>
      <c r="AB4" s="239"/>
      <c r="AC4" s="116"/>
      <c r="AD4" s="116"/>
      <c r="AE4" s="116"/>
    </row>
    <row r="5" spans="2:40" ht="13.5" customHeight="1" x14ac:dyDescent="0.2">
      <c r="B5" s="373"/>
      <c r="C5" s="374" t="str">
        <f>Fixtures!C3</f>
        <v>Highgate</v>
      </c>
      <c r="D5" s="374" t="s">
        <v>271</v>
      </c>
      <c r="E5" s="375"/>
      <c r="F5" s="376"/>
      <c r="G5" s="124"/>
      <c r="H5" s="373"/>
      <c r="I5" s="374" t="str">
        <f>Fixtures!C13</f>
        <v>Royal Household</v>
      </c>
      <c r="J5" s="374" t="s">
        <v>185</v>
      </c>
      <c r="K5" s="375" t="s">
        <v>188</v>
      </c>
      <c r="L5" s="390"/>
      <c r="M5" s="127"/>
      <c r="N5" s="158" t="s">
        <v>44</v>
      </c>
      <c r="O5" s="395" t="s">
        <v>189</v>
      </c>
      <c r="P5" s="170">
        <f t="shared" si="0"/>
        <v>2</v>
      </c>
      <c r="Q5" s="116"/>
      <c r="R5" s="116"/>
      <c r="S5" s="116"/>
      <c r="T5" s="116"/>
      <c r="U5" s="116"/>
      <c r="V5" s="146"/>
      <c r="W5" s="146"/>
      <c r="X5" s="146"/>
      <c r="Y5" s="146"/>
      <c r="Z5" s="146"/>
      <c r="AA5" s="146"/>
      <c r="AB5" s="146"/>
      <c r="AC5" s="116"/>
      <c r="AD5" s="116"/>
      <c r="AE5" s="116"/>
    </row>
    <row r="6" spans="2:40" ht="13.5" customHeight="1" x14ac:dyDescent="0.2">
      <c r="B6" s="373"/>
      <c r="C6" s="374"/>
      <c r="D6" s="374"/>
      <c r="E6" s="375"/>
      <c r="F6" s="376"/>
      <c r="G6" s="124"/>
      <c r="H6" s="299"/>
      <c r="I6" s="391"/>
      <c r="J6" s="391"/>
      <c r="K6" s="391"/>
      <c r="L6" s="382"/>
      <c r="M6" s="127"/>
      <c r="N6" s="158" t="s">
        <v>268</v>
      </c>
      <c r="O6" s="395" t="s">
        <v>189</v>
      </c>
      <c r="P6" s="170">
        <f t="shared" si="0"/>
        <v>1</v>
      </c>
      <c r="Q6" s="116"/>
      <c r="R6" s="116"/>
      <c r="S6" s="116"/>
      <c r="T6" s="116"/>
      <c r="U6" s="116"/>
      <c r="V6" s="146"/>
      <c r="W6" s="146"/>
      <c r="X6" s="146"/>
      <c r="Y6" s="146"/>
      <c r="Z6" s="146"/>
      <c r="AA6" s="146"/>
      <c r="AB6" s="146"/>
      <c r="AC6" s="116"/>
      <c r="AD6" s="116"/>
      <c r="AE6" s="116"/>
    </row>
    <row r="7" spans="2:40" ht="13.5" customHeight="1" x14ac:dyDescent="0.2">
      <c r="B7" s="369"/>
      <c r="C7" s="370" t="str">
        <f>Fixtures!B4</f>
        <v>Sun 29 Apr</v>
      </c>
      <c r="D7" s="374"/>
      <c r="E7" s="375"/>
      <c r="F7" s="372"/>
      <c r="G7" s="124"/>
      <c r="H7" s="373"/>
      <c r="I7" s="370" t="str">
        <f>Fixtures!B14</f>
        <v>Sun 08 Jul</v>
      </c>
      <c r="J7" s="371"/>
      <c r="K7" s="371"/>
      <c r="L7" s="390"/>
      <c r="M7" s="127"/>
      <c r="N7" s="158" t="s">
        <v>221</v>
      </c>
      <c r="O7" s="395" t="s">
        <v>189</v>
      </c>
      <c r="P7" s="170">
        <f t="shared" si="0"/>
        <v>1</v>
      </c>
      <c r="Q7" s="116"/>
      <c r="R7" s="116"/>
      <c r="S7" s="116"/>
      <c r="T7" s="116"/>
      <c r="U7" s="116"/>
      <c r="V7" s="146"/>
      <c r="W7" s="146"/>
      <c r="X7" s="146"/>
      <c r="Y7" s="146"/>
      <c r="Z7" s="146"/>
      <c r="AA7" s="146"/>
      <c r="AB7" s="146"/>
      <c r="AC7" s="116"/>
      <c r="AD7" s="116"/>
      <c r="AE7" s="116"/>
    </row>
    <row r="8" spans="2:40" ht="13.5" customHeight="1" x14ac:dyDescent="0.2">
      <c r="B8" s="373"/>
      <c r="C8" s="377" t="str">
        <f>Fixtures!C4</f>
        <v>Harrow St. Mary's</v>
      </c>
      <c r="D8" s="374" t="s">
        <v>271</v>
      </c>
      <c r="E8" s="375"/>
      <c r="F8" s="376"/>
      <c r="G8" s="124"/>
      <c r="H8" s="373"/>
      <c r="I8" s="374" t="str">
        <f>Fixtures!C14</f>
        <v>Crouch End</v>
      </c>
      <c r="J8" s="374" t="s">
        <v>283</v>
      </c>
      <c r="K8" s="375" t="s">
        <v>188</v>
      </c>
      <c r="L8" s="390"/>
      <c r="M8" s="127"/>
      <c r="N8" s="158" t="s">
        <v>219</v>
      </c>
      <c r="O8" s="395" t="s">
        <v>191</v>
      </c>
      <c r="P8" s="170">
        <f t="shared" si="0"/>
        <v>1</v>
      </c>
      <c r="Q8" s="116"/>
      <c r="R8" s="116"/>
      <c r="S8" s="116"/>
      <c r="T8" s="116"/>
      <c r="U8" s="116"/>
      <c r="V8" s="146"/>
      <c r="W8" s="146"/>
      <c r="X8" s="146"/>
      <c r="Y8" s="146"/>
      <c r="Z8" s="146"/>
      <c r="AA8" s="146"/>
      <c r="AB8" s="146"/>
      <c r="AC8" s="116"/>
      <c r="AD8" s="116"/>
      <c r="AE8" s="116"/>
    </row>
    <row r="9" spans="2:40" ht="13.5" customHeight="1" x14ac:dyDescent="0.2">
      <c r="B9" s="373"/>
      <c r="C9" s="378"/>
      <c r="D9" s="374"/>
      <c r="E9" s="375"/>
      <c r="F9" s="376"/>
      <c r="G9" s="124"/>
      <c r="H9" s="373"/>
      <c r="I9" s="374"/>
      <c r="J9" s="374"/>
      <c r="K9" s="374"/>
      <c r="L9" s="390"/>
      <c r="M9" s="127"/>
      <c r="N9" s="158" t="s">
        <v>55</v>
      </c>
      <c r="O9" s="395" t="s">
        <v>191</v>
      </c>
      <c r="P9" s="170">
        <f t="shared" si="0"/>
        <v>1</v>
      </c>
      <c r="Q9" s="116"/>
      <c r="R9" s="116"/>
      <c r="S9" s="116"/>
      <c r="T9" s="116"/>
      <c r="U9" s="116"/>
      <c r="V9" s="146"/>
      <c r="W9" s="146"/>
      <c r="X9" s="146"/>
      <c r="Y9" s="146"/>
      <c r="Z9" s="146"/>
      <c r="AA9" s="146"/>
      <c r="AB9" s="146"/>
      <c r="AC9" s="116"/>
      <c r="AD9" s="116"/>
      <c r="AE9" s="116"/>
    </row>
    <row r="10" spans="2:40" ht="13.5" customHeight="1" x14ac:dyDescent="0.2">
      <c r="B10" s="369"/>
      <c r="C10" s="370" t="str">
        <f>Fixtures!B5</f>
        <v>Sun 06 May</v>
      </c>
      <c r="D10" s="371"/>
      <c r="E10" s="371"/>
      <c r="F10" s="372"/>
      <c r="G10" s="124"/>
      <c r="H10" s="373"/>
      <c r="I10" s="370" t="str">
        <f>Fixtures!B15</f>
        <v>Sun 15 Jul</v>
      </c>
      <c r="J10" s="374"/>
      <c r="K10" s="374"/>
      <c r="L10" s="390"/>
      <c r="M10" s="127"/>
      <c r="N10" s="158" t="s">
        <v>273</v>
      </c>
      <c r="O10" s="395" t="s">
        <v>274</v>
      </c>
      <c r="P10" s="170">
        <f t="shared" si="0"/>
        <v>1</v>
      </c>
      <c r="Q10" s="116"/>
      <c r="R10" s="116"/>
      <c r="S10" s="116"/>
      <c r="T10" s="116"/>
      <c r="U10" s="116"/>
      <c r="V10" s="146"/>
      <c r="W10" s="146"/>
      <c r="X10" s="146"/>
      <c r="Y10" s="146"/>
      <c r="Z10" s="146"/>
      <c r="AA10" s="146"/>
      <c r="AB10" s="146"/>
      <c r="AC10" s="116"/>
      <c r="AD10" s="116"/>
      <c r="AE10" s="116"/>
    </row>
    <row r="11" spans="2:40" ht="13.5" customHeight="1" x14ac:dyDescent="0.2">
      <c r="B11" s="373"/>
      <c r="C11" s="377" t="str">
        <f>Fixtures!C5</f>
        <v>Ickenham</v>
      </c>
      <c r="D11" s="374" t="s">
        <v>267</v>
      </c>
      <c r="E11" s="375" t="s">
        <v>189</v>
      </c>
      <c r="F11" s="376"/>
      <c r="G11" s="124"/>
      <c r="H11" s="373"/>
      <c r="I11" s="374" t="str">
        <f>Fixtures!C15</f>
        <v>Holtwhites Trinibis</v>
      </c>
      <c r="J11" s="374" t="s">
        <v>271</v>
      </c>
      <c r="K11" s="375"/>
      <c r="L11" s="390"/>
      <c r="M11" s="127"/>
      <c r="N11" s="158" t="s">
        <v>216</v>
      </c>
      <c r="O11" s="395" t="s">
        <v>189</v>
      </c>
      <c r="P11" s="170">
        <f t="shared" si="0"/>
        <v>1</v>
      </c>
      <c r="Q11" s="116"/>
      <c r="R11" s="116"/>
      <c r="S11" s="116"/>
      <c r="T11" s="116"/>
      <c r="U11" s="116"/>
      <c r="V11" s="146"/>
      <c r="W11" s="146"/>
      <c r="X11" s="146"/>
      <c r="Y11" s="146"/>
      <c r="Z11" s="146"/>
      <c r="AA11" s="146"/>
      <c r="AB11" s="146"/>
      <c r="AC11" s="116"/>
      <c r="AD11" s="116"/>
      <c r="AE11" s="116"/>
    </row>
    <row r="12" spans="2:40" ht="13.5" customHeight="1" x14ac:dyDescent="0.2">
      <c r="B12" s="373"/>
      <c r="C12" s="378"/>
      <c r="D12" s="374"/>
      <c r="E12" s="375"/>
      <c r="F12" s="376"/>
      <c r="G12" s="124"/>
      <c r="H12" s="373"/>
      <c r="I12" s="374"/>
      <c r="J12" s="374"/>
      <c r="K12" s="374"/>
      <c r="L12" s="390"/>
      <c r="M12" s="127"/>
      <c r="N12" s="158" t="s">
        <v>267</v>
      </c>
      <c r="O12" s="395" t="s">
        <v>189</v>
      </c>
      <c r="P12" s="170">
        <f t="shared" si="0"/>
        <v>1</v>
      </c>
      <c r="Q12" s="116"/>
      <c r="R12" s="116"/>
      <c r="S12" s="116"/>
      <c r="T12" s="116"/>
      <c r="U12" s="116"/>
      <c r="V12" s="146"/>
      <c r="W12" s="146"/>
      <c r="X12" s="146"/>
      <c r="Y12" s="146"/>
      <c r="Z12" s="146"/>
      <c r="AA12" s="146"/>
      <c r="AB12" s="146"/>
      <c r="AC12" s="116"/>
      <c r="AD12" s="116"/>
      <c r="AE12" s="116"/>
    </row>
    <row r="13" spans="2:40" ht="13.5" customHeight="1" x14ac:dyDescent="0.2">
      <c r="B13" s="369"/>
      <c r="C13" s="370" t="str">
        <f>Fixtures!B6</f>
        <v>Sun 13 May</v>
      </c>
      <c r="D13" s="374"/>
      <c r="E13" s="375"/>
      <c r="F13" s="372"/>
      <c r="G13" s="124"/>
      <c r="H13" s="373"/>
      <c r="I13" s="370" t="str">
        <f>Fixtures!B16</f>
        <v>Sun 22 Jul</v>
      </c>
      <c r="J13" s="374"/>
      <c r="K13" s="374"/>
      <c r="L13" s="390"/>
      <c r="M13" s="127"/>
      <c r="N13" s="158" t="s">
        <v>283</v>
      </c>
      <c r="O13" s="395" t="s">
        <v>188</v>
      </c>
      <c r="P13" s="170">
        <f t="shared" si="0"/>
        <v>1</v>
      </c>
      <c r="Q13" s="146"/>
      <c r="R13" s="116"/>
      <c r="S13" s="116"/>
      <c r="T13" s="116"/>
      <c r="U13" s="116"/>
      <c r="V13" s="146"/>
      <c r="W13" s="146"/>
      <c r="X13" s="146"/>
      <c r="Y13" s="146"/>
      <c r="Z13" s="146"/>
      <c r="AA13" s="146"/>
      <c r="AB13" s="146"/>
      <c r="AC13" s="116"/>
      <c r="AD13" s="116"/>
      <c r="AE13" s="116"/>
    </row>
    <row r="14" spans="2:40" ht="13.5" customHeight="1" x14ac:dyDescent="0.2">
      <c r="B14" s="373"/>
      <c r="C14" s="377" t="str">
        <f>Fixtures!C6</f>
        <v>Northwood</v>
      </c>
      <c r="D14" s="374" t="s">
        <v>268</v>
      </c>
      <c r="E14" s="375" t="s">
        <v>189</v>
      </c>
      <c r="F14" s="376"/>
      <c r="G14" s="124"/>
      <c r="H14" s="373"/>
      <c r="I14" s="374" t="str">
        <f>Fixtures!C16</f>
        <v>Teddington</v>
      </c>
      <c r="J14" s="374" t="s">
        <v>219</v>
      </c>
      <c r="K14" s="375" t="s">
        <v>191</v>
      </c>
      <c r="L14" s="390"/>
      <c r="M14" s="127"/>
      <c r="N14" s="197" t="s">
        <v>279</v>
      </c>
      <c r="O14" s="396" t="s">
        <v>280</v>
      </c>
      <c r="P14" s="199">
        <f t="shared" si="0"/>
        <v>1</v>
      </c>
      <c r="Q14" s="146"/>
      <c r="R14" s="116"/>
      <c r="S14" s="116"/>
      <c r="T14" s="116"/>
      <c r="U14" s="116"/>
      <c r="V14" s="146"/>
      <c r="W14" s="146"/>
      <c r="X14" s="146"/>
      <c r="Y14" s="146"/>
      <c r="Z14" s="146"/>
      <c r="AA14" s="146"/>
      <c r="AB14" s="146"/>
      <c r="AC14" s="116"/>
      <c r="AD14" s="116"/>
      <c r="AE14" s="116"/>
    </row>
    <row r="15" spans="2:40" ht="13.5" customHeight="1" x14ac:dyDescent="0.2">
      <c r="B15" s="373"/>
      <c r="C15" s="378"/>
      <c r="D15" s="374"/>
      <c r="E15" s="375"/>
      <c r="F15" s="376"/>
      <c r="G15" s="124"/>
      <c r="H15" s="373"/>
      <c r="I15" s="374"/>
      <c r="J15" s="374"/>
      <c r="K15" s="374"/>
      <c r="L15" s="390"/>
      <c r="M15" s="127"/>
      <c r="Q15" s="116"/>
      <c r="R15" s="116"/>
      <c r="S15" s="116"/>
      <c r="T15" s="116"/>
      <c r="U15" s="116"/>
      <c r="V15" s="146"/>
      <c r="W15" s="146"/>
      <c r="X15" s="146"/>
      <c r="Y15" s="146"/>
      <c r="Z15" s="146"/>
      <c r="AA15" s="146"/>
      <c r="AB15" s="146"/>
      <c r="AC15" s="116"/>
      <c r="AD15" s="116"/>
      <c r="AE15" s="116"/>
    </row>
    <row r="16" spans="2:40" ht="13.5" customHeight="1" x14ac:dyDescent="0.2">
      <c r="B16" s="369"/>
      <c r="C16" s="379" t="str">
        <f>Fixtures!B7</f>
        <v>Sun 20 May</v>
      </c>
      <c r="D16" s="374"/>
      <c r="E16" s="375"/>
      <c r="F16" s="372"/>
      <c r="G16" s="124"/>
      <c r="H16" s="373"/>
      <c r="I16" s="370" t="str">
        <f>Fixtures!B17</f>
        <v>Sun 29 Jul</v>
      </c>
      <c r="J16" s="374"/>
      <c r="K16" s="374"/>
      <c r="L16" s="390"/>
      <c r="M16" s="127"/>
      <c r="Q16" s="116"/>
      <c r="R16" s="116"/>
      <c r="S16" s="146"/>
      <c r="T16" s="146"/>
      <c r="U16" s="146"/>
      <c r="V16" s="146"/>
      <c r="W16" s="146"/>
      <c r="X16" s="146"/>
      <c r="Y16" s="146"/>
      <c r="Z16" s="116"/>
      <c r="AA16" s="116"/>
      <c r="AB16" s="116"/>
    </row>
    <row r="17" spans="2:31" ht="13.5" customHeight="1" x14ac:dyDescent="0.2">
      <c r="B17" s="373"/>
      <c r="C17" s="377" t="str">
        <f>Fixtures!C7</f>
        <v>Kew</v>
      </c>
      <c r="D17" s="374" t="s">
        <v>55</v>
      </c>
      <c r="E17" s="375" t="s">
        <v>191</v>
      </c>
      <c r="F17" s="376"/>
      <c r="G17" s="124"/>
      <c r="H17" s="373"/>
      <c r="I17" s="374" t="str">
        <f>Fixtures!C17</f>
        <v>Old Wimbledonians</v>
      </c>
      <c r="J17" s="374" t="s">
        <v>271</v>
      </c>
      <c r="K17" s="375"/>
      <c r="L17" s="390"/>
      <c r="M17" s="127"/>
      <c r="Q17" s="116"/>
      <c r="R17" s="116"/>
      <c r="S17" s="146"/>
      <c r="T17" s="146"/>
      <c r="U17" s="146"/>
      <c r="V17" s="146"/>
      <c r="W17" s="146"/>
      <c r="X17" s="146"/>
      <c r="Y17" s="146"/>
      <c r="Z17" s="116"/>
      <c r="AA17" s="116"/>
      <c r="AB17" s="116"/>
    </row>
    <row r="18" spans="2:31" ht="13.5" customHeight="1" x14ac:dyDescent="0.2">
      <c r="B18" s="373"/>
      <c r="C18" s="378"/>
      <c r="D18" s="380"/>
      <c r="E18" s="380"/>
      <c r="F18" s="376"/>
      <c r="G18" s="124"/>
      <c r="H18" s="373"/>
      <c r="I18" s="374"/>
      <c r="J18" s="392"/>
      <c r="K18" s="392"/>
      <c r="L18" s="390"/>
      <c r="M18" s="127"/>
      <c r="Q18" s="116"/>
      <c r="R18" s="116"/>
      <c r="S18" s="146"/>
      <c r="T18" s="146"/>
      <c r="U18" s="146"/>
      <c r="V18" s="146"/>
      <c r="W18" s="146"/>
      <c r="X18" s="146"/>
      <c r="Y18" s="146"/>
      <c r="Z18" s="116"/>
      <c r="AA18" s="116"/>
      <c r="AB18" s="116"/>
    </row>
    <row r="19" spans="2:31" ht="13.5" customHeight="1" x14ac:dyDescent="0.2">
      <c r="B19" s="369"/>
      <c r="C19" s="370" t="str">
        <f>Fixtures!B8</f>
        <v>Sun 27 May</v>
      </c>
      <c r="D19" s="371"/>
      <c r="E19" s="371"/>
      <c r="F19" s="372"/>
      <c r="G19" s="124"/>
      <c r="H19" s="373"/>
      <c r="I19" s="370" t="str">
        <f>Fixtures!B18</f>
        <v>Sun 05 Aug</v>
      </c>
      <c r="J19" s="392"/>
      <c r="K19" s="392"/>
      <c r="L19" s="390"/>
      <c r="M19" s="127"/>
      <c r="Q19" s="116"/>
      <c r="R19" s="116"/>
      <c r="S19" s="146"/>
      <c r="T19" s="146"/>
      <c r="U19" s="146"/>
      <c r="V19" s="146"/>
      <c r="W19" s="146"/>
      <c r="X19" s="146"/>
      <c r="Y19" s="146"/>
      <c r="Z19" s="116"/>
      <c r="AA19" s="116"/>
      <c r="AB19" s="116"/>
    </row>
    <row r="20" spans="2:31" ht="13.5" customHeight="1" x14ac:dyDescent="0.2">
      <c r="B20" s="373"/>
      <c r="C20" s="374" t="str">
        <f>Fixtures!C8</f>
        <v>Barnes</v>
      </c>
      <c r="D20" s="374" t="s">
        <v>271</v>
      </c>
      <c r="E20" s="375"/>
      <c r="F20" s="376"/>
      <c r="G20" s="124"/>
      <c r="H20" s="373"/>
      <c r="I20" s="374" t="str">
        <f>Fixtures!C18</f>
        <v>Shepherd's Bush</v>
      </c>
      <c r="J20" s="374" t="s">
        <v>185</v>
      </c>
      <c r="K20" s="375" t="s">
        <v>188</v>
      </c>
      <c r="L20" s="390"/>
      <c r="M20" s="127"/>
      <c r="Q20" s="116"/>
      <c r="R20" s="116"/>
      <c r="S20" s="146"/>
      <c r="T20" s="146"/>
      <c r="U20" s="146"/>
      <c r="V20" s="146"/>
      <c r="W20" s="146"/>
      <c r="X20" s="146"/>
      <c r="Y20" s="146"/>
      <c r="Z20" s="116"/>
      <c r="AA20" s="116"/>
      <c r="AB20" s="116"/>
    </row>
    <row r="21" spans="2:31" ht="13.5" customHeight="1" x14ac:dyDescent="0.2">
      <c r="B21" s="373"/>
      <c r="C21" s="378"/>
      <c r="D21" s="380"/>
      <c r="E21" s="380"/>
      <c r="F21" s="376"/>
      <c r="G21" s="124"/>
      <c r="H21" s="373"/>
      <c r="I21" s="393"/>
      <c r="J21" s="374"/>
      <c r="K21" s="374"/>
      <c r="L21" s="390"/>
      <c r="M21" s="127"/>
      <c r="Q21" s="116"/>
      <c r="R21" s="116"/>
      <c r="S21" s="146"/>
      <c r="T21" s="146"/>
      <c r="U21" s="146"/>
      <c r="V21" s="146"/>
      <c r="W21" s="146"/>
      <c r="X21" s="146"/>
      <c r="Y21" s="146"/>
      <c r="Z21" s="116"/>
      <c r="AA21" s="116"/>
      <c r="AB21" s="116"/>
    </row>
    <row r="22" spans="2:31" ht="13.5" customHeight="1" x14ac:dyDescent="0.2">
      <c r="B22" s="369"/>
      <c r="C22" s="370" t="str">
        <f>Fixtures!B9</f>
        <v>Sun 03 Jun</v>
      </c>
      <c r="D22" s="371"/>
      <c r="E22" s="371"/>
      <c r="F22" s="372"/>
      <c r="G22" s="124"/>
      <c r="H22" s="373"/>
      <c r="I22" s="370" t="str">
        <f>Fixtures!B19</f>
        <v>Sun 12 Aug</v>
      </c>
      <c r="J22" s="392"/>
      <c r="K22" s="392"/>
      <c r="L22" s="390"/>
      <c r="M22" s="127"/>
      <c r="Q22" s="116"/>
      <c r="R22" s="116"/>
      <c r="S22" s="146"/>
      <c r="T22" s="146"/>
      <c r="U22" s="146"/>
      <c r="V22" s="146"/>
      <c r="W22" s="146"/>
      <c r="X22" s="146"/>
      <c r="Y22" s="146"/>
      <c r="Z22" s="116"/>
      <c r="AA22" s="116"/>
      <c r="AB22" s="116"/>
    </row>
    <row r="23" spans="2:31" ht="13.5" customHeight="1" x14ac:dyDescent="0.2">
      <c r="B23" s="373"/>
      <c r="C23" s="374" t="str">
        <f>Fixtures!C9</f>
        <v>Putney</v>
      </c>
      <c r="D23" s="374" t="s">
        <v>273</v>
      </c>
      <c r="E23" s="375" t="s">
        <v>274</v>
      </c>
      <c r="F23" s="376"/>
      <c r="G23" s="124"/>
      <c r="H23" s="373"/>
      <c r="I23" s="374" t="str">
        <f>Fixtures!C19</f>
        <v>Missenden Misfits</v>
      </c>
      <c r="J23" s="374" t="s">
        <v>216</v>
      </c>
      <c r="K23" s="375" t="s">
        <v>189</v>
      </c>
      <c r="L23" s="390"/>
      <c r="M23" s="127"/>
      <c r="Q23" s="116"/>
      <c r="R23" s="116"/>
      <c r="S23" s="146"/>
      <c r="T23" s="146"/>
      <c r="U23" s="146"/>
      <c r="V23" s="146"/>
      <c r="W23" s="146"/>
      <c r="X23" s="146"/>
      <c r="Y23" s="146"/>
      <c r="Z23" s="116"/>
      <c r="AA23" s="116"/>
      <c r="AB23" s="116"/>
    </row>
    <row r="24" spans="2:31" ht="13.5" customHeight="1" x14ac:dyDescent="0.2">
      <c r="B24" s="373"/>
      <c r="C24" s="378"/>
      <c r="D24" s="378"/>
      <c r="E24" s="378"/>
      <c r="F24" s="376"/>
      <c r="G24" s="124"/>
      <c r="H24" s="373"/>
      <c r="I24" s="374"/>
      <c r="J24" s="374"/>
      <c r="K24" s="375"/>
      <c r="L24" s="390"/>
      <c r="M24" s="127"/>
      <c r="Q24" s="116"/>
      <c r="R24" s="116"/>
      <c r="S24" s="146"/>
      <c r="T24" s="146"/>
      <c r="U24" s="146"/>
      <c r="V24" s="146"/>
      <c r="W24" s="146"/>
      <c r="X24" s="146"/>
      <c r="Y24" s="146"/>
      <c r="Z24" s="116"/>
      <c r="AA24" s="116"/>
      <c r="AB24" s="116"/>
    </row>
    <row r="25" spans="2:31" ht="13.5" customHeight="1" x14ac:dyDescent="0.2">
      <c r="B25" s="369"/>
      <c r="C25" s="370" t="str">
        <f>Fixtures!B10</f>
        <v>Sun 10 Jun</v>
      </c>
      <c r="D25" s="371"/>
      <c r="E25" s="371"/>
      <c r="F25" s="372"/>
      <c r="G25" s="124"/>
      <c r="H25" s="373"/>
      <c r="I25" s="370" t="str">
        <f>Fixtures!B20</f>
        <v>Sat 18 Aug</v>
      </c>
      <c r="J25" s="374"/>
      <c r="K25" s="375"/>
      <c r="L25" s="390"/>
      <c r="M25" s="127"/>
      <c r="Q25" s="116"/>
      <c r="R25" s="116"/>
      <c r="S25" s="146"/>
      <c r="T25" s="146"/>
      <c r="U25" s="146"/>
      <c r="V25" s="146"/>
      <c r="W25" s="146"/>
      <c r="X25" s="146"/>
      <c r="Y25" s="146"/>
      <c r="Z25" s="116"/>
      <c r="AA25" s="116"/>
      <c r="AB25" s="116"/>
    </row>
    <row r="26" spans="2:31" ht="13.5" customHeight="1" x14ac:dyDescent="0.2">
      <c r="B26" s="373"/>
      <c r="C26" s="374" t="str">
        <f>Fixtures!C10</f>
        <v>Chingford</v>
      </c>
      <c r="D26" s="374" t="s">
        <v>185</v>
      </c>
      <c r="E26" s="375" t="s">
        <v>188</v>
      </c>
      <c r="F26" s="376"/>
      <c r="G26" s="124"/>
      <c r="H26" s="373"/>
      <c r="I26" s="374" t="str">
        <f>Fixtures!C20</f>
        <v>Post Modernists</v>
      </c>
      <c r="J26" s="374" t="s">
        <v>44</v>
      </c>
      <c r="K26" s="375" t="s">
        <v>189</v>
      </c>
      <c r="L26" s="390"/>
      <c r="M26" s="127"/>
      <c r="Q26" s="116"/>
      <c r="R26" s="116"/>
      <c r="S26" s="146"/>
      <c r="T26" s="146"/>
      <c r="U26" s="146"/>
      <c r="V26" s="146"/>
      <c r="W26" s="146"/>
      <c r="X26" s="146"/>
      <c r="Y26" s="146"/>
      <c r="Z26" s="116"/>
      <c r="AA26" s="116"/>
      <c r="AB26" s="116"/>
    </row>
    <row r="27" spans="2:31" ht="13.5" customHeight="1" x14ac:dyDescent="0.2">
      <c r="B27" s="373"/>
      <c r="C27" s="381"/>
      <c r="D27" s="374"/>
      <c r="E27" s="375"/>
      <c r="F27" s="376"/>
      <c r="G27" s="124"/>
      <c r="H27" s="373"/>
      <c r="I27" s="374"/>
      <c r="J27" s="374"/>
      <c r="K27" s="375"/>
      <c r="L27" s="390"/>
      <c r="M27" s="127"/>
      <c r="Q27" s="116"/>
      <c r="R27" s="116"/>
      <c r="S27" s="116"/>
      <c r="T27" s="116"/>
      <c r="U27" s="116"/>
      <c r="V27" s="146"/>
      <c r="W27" s="146"/>
      <c r="X27" s="146"/>
      <c r="Y27" s="146"/>
      <c r="Z27" s="146"/>
      <c r="AA27" s="146"/>
      <c r="AB27" s="146"/>
      <c r="AC27" s="116"/>
      <c r="AD27" s="116"/>
      <c r="AE27" s="116"/>
    </row>
    <row r="28" spans="2:31" ht="13.5" customHeight="1" x14ac:dyDescent="0.2">
      <c r="B28" s="369"/>
      <c r="C28" s="370" t="str">
        <f>Fixtures!B11</f>
        <v>Sun 17 Jun</v>
      </c>
      <c r="D28" s="371"/>
      <c r="E28" s="371"/>
      <c r="F28" s="372"/>
      <c r="G28" s="124"/>
      <c r="H28" s="373"/>
      <c r="I28" s="370" t="str">
        <f>Fixtures!B21</f>
        <v>Sun 19 Aug</v>
      </c>
      <c r="J28" s="374"/>
      <c r="K28" s="375"/>
      <c r="L28" s="390"/>
      <c r="M28" s="127"/>
      <c r="Q28" s="116"/>
      <c r="R28" s="116"/>
      <c r="S28" s="116"/>
      <c r="T28" s="116"/>
      <c r="U28" s="116"/>
      <c r="V28" s="146"/>
      <c r="W28" s="146"/>
      <c r="X28" s="146"/>
      <c r="Y28" s="146"/>
      <c r="Z28" s="146"/>
      <c r="AA28" s="146"/>
      <c r="AB28" s="146"/>
      <c r="AC28" s="116"/>
      <c r="AD28" s="116"/>
      <c r="AE28" s="116"/>
    </row>
    <row r="29" spans="2:31" ht="13.5" customHeight="1" x14ac:dyDescent="0.2">
      <c r="B29" s="373"/>
      <c r="C29" s="374" t="str">
        <f>Fixtures!C11</f>
        <v>North Enfield</v>
      </c>
      <c r="D29" s="374" t="s">
        <v>221</v>
      </c>
      <c r="E29" s="375" t="s">
        <v>189</v>
      </c>
      <c r="F29" s="382"/>
      <c r="G29" s="124"/>
      <c r="H29" s="373"/>
      <c r="I29" s="374" t="str">
        <f>Fixtures!C21</f>
        <v>Nevill Holt</v>
      </c>
      <c r="J29" s="374" t="s">
        <v>44</v>
      </c>
      <c r="K29" s="375" t="s">
        <v>189</v>
      </c>
      <c r="L29" s="390"/>
      <c r="M29" s="127"/>
      <c r="Q29" s="116"/>
      <c r="R29" s="116"/>
      <c r="S29" s="116"/>
      <c r="T29" s="116"/>
      <c r="U29" s="116"/>
      <c r="V29" s="146"/>
      <c r="W29" s="146"/>
      <c r="X29" s="146"/>
      <c r="Y29" s="146"/>
      <c r="Z29" s="146"/>
      <c r="AA29" s="146"/>
      <c r="AB29" s="146"/>
      <c r="AC29" s="116"/>
      <c r="AD29" s="116"/>
      <c r="AE29" s="116"/>
    </row>
    <row r="30" spans="2:31" ht="13.5" customHeight="1" x14ac:dyDescent="0.2">
      <c r="B30" s="373"/>
      <c r="C30" s="374"/>
      <c r="D30" s="374"/>
      <c r="E30" s="375"/>
      <c r="F30" s="382"/>
      <c r="G30" s="124"/>
      <c r="H30" s="373"/>
      <c r="I30" s="374"/>
      <c r="J30" s="374"/>
      <c r="K30" s="375"/>
      <c r="L30" s="390"/>
      <c r="M30" s="127"/>
      <c r="Q30" s="116"/>
      <c r="R30" s="116"/>
      <c r="S30" s="116"/>
      <c r="T30" s="116"/>
      <c r="U30" s="116"/>
      <c r="V30" s="146"/>
      <c r="W30" s="146"/>
      <c r="X30" s="146"/>
      <c r="Y30" s="146"/>
      <c r="Z30" s="146"/>
      <c r="AA30" s="146"/>
      <c r="AB30" s="146"/>
      <c r="AC30" s="116"/>
      <c r="AD30" s="116"/>
      <c r="AE30" s="116"/>
    </row>
    <row r="31" spans="2:31" ht="13.5" customHeight="1" x14ac:dyDescent="0.2">
      <c r="B31" s="369"/>
      <c r="C31" s="370" t="str">
        <f>Fixtures!B12</f>
        <v>Sun 24 Jun</v>
      </c>
      <c r="D31" s="371"/>
      <c r="E31" s="371"/>
      <c r="F31" s="372"/>
      <c r="G31" s="124"/>
      <c r="H31" s="373"/>
      <c r="I31" s="394" t="str">
        <f>Fixtures!B22</f>
        <v>Sun 26 Aug</v>
      </c>
      <c r="J31" s="374"/>
      <c r="K31" s="375"/>
      <c r="L31" s="390"/>
      <c r="M31" s="116"/>
      <c r="Q31" s="116"/>
      <c r="R31" s="116"/>
      <c r="S31" s="116"/>
      <c r="T31" s="116"/>
      <c r="U31" s="116"/>
      <c r="V31" s="146"/>
      <c r="W31" s="146"/>
      <c r="X31" s="146"/>
      <c r="Y31" s="146"/>
      <c r="Z31" s="146"/>
      <c r="AA31" s="146"/>
      <c r="AB31" s="146"/>
      <c r="AC31" s="116"/>
      <c r="AD31" s="116"/>
      <c r="AE31" s="116"/>
    </row>
    <row r="32" spans="2:31" ht="13.5" customHeight="1" x14ac:dyDescent="0.2">
      <c r="B32" s="373"/>
      <c r="C32" s="374" t="str">
        <f>Fixtures!C12</f>
        <v>Shepperton</v>
      </c>
      <c r="D32" s="374" t="s">
        <v>279</v>
      </c>
      <c r="E32" s="375" t="s">
        <v>280</v>
      </c>
      <c r="F32" s="382"/>
      <c r="G32" s="124"/>
      <c r="H32" s="373"/>
      <c r="I32" s="374" t="str">
        <f>Fixtures!C22</f>
        <v>Wembley</v>
      </c>
      <c r="J32" s="374"/>
      <c r="K32" s="375"/>
      <c r="L32" s="390"/>
      <c r="M32" s="116"/>
      <c r="Q32" s="116"/>
      <c r="R32" s="116"/>
      <c r="S32" s="116"/>
      <c r="T32" s="116"/>
      <c r="U32" s="116"/>
      <c r="V32" s="146"/>
      <c r="W32" s="146"/>
      <c r="X32" s="146"/>
      <c r="Y32" s="146"/>
      <c r="Z32" s="146"/>
      <c r="AA32" s="146"/>
      <c r="AB32" s="146"/>
      <c r="AC32" s="116"/>
      <c r="AD32" s="116"/>
      <c r="AE32" s="116"/>
    </row>
    <row r="33" spans="2:31" ht="13.5" customHeight="1" x14ac:dyDescent="0.2">
      <c r="B33" s="383"/>
      <c r="C33" s="384"/>
      <c r="D33" s="385"/>
      <c r="E33" s="385"/>
      <c r="F33" s="386"/>
      <c r="G33" s="124"/>
      <c r="H33" s="383"/>
      <c r="I33" s="384"/>
      <c r="J33" s="384"/>
      <c r="K33" s="421"/>
      <c r="L33" s="386"/>
      <c r="M33" s="116"/>
      <c r="Q33" s="116"/>
      <c r="R33" s="116"/>
      <c r="S33" s="116"/>
      <c r="T33" s="116"/>
      <c r="U33" s="116"/>
      <c r="V33" s="146"/>
      <c r="W33" s="146"/>
      <c r="X33" s="146"/>
      <c r="Y33" s="146"/>
      <c r="Z33" s="146"/>
      <c r="AA33" s="146"/>
      <c r="AB33" s="146"/>
      <c r="AC33" s="116"/>
      <c r="AD33" s="116"/>
      <c r="AE33" s="116"/>
    </row>
    <row r="34" spans="2:31" ht="12.6" customHeight="1" x14ac:dyDescent="0.2">
      <c r="B34" s="116"/>
      <c r="C34" s="116"/>
      <c r="D34" s="116"/>
      <c r="E34" s="116"/>
      <c r="F34" s="116"/>
      <c r="G34" s="125"/>
      <c r="H34" s="116"/>
      <c r="I34" s="116"/>
      <c r="J34" s="116"/>
      <c r="K34" s="116"/>
      <c r="L34" s="116"/>
      <c r="M34" s="116"/>
      <c r="Q34" s="146"/>
      <c r="R34" s="116"/>
      <c r="S34" s="116"/>
      <c r="T34" s="116"/>
      <c r="U34" s="116"/>
      <c r="V34" s="146"/>
      <c r="W34" s="146"/>
      <c r="X34" s="146"/>
      <c r="Y34" s="146"/>
      <c r="Z34" s="146"/>
      <c r="AA34" s="146"/>
      <c r="AB34" s="146"/>
      <c r="AC34" s="116"/>
      <c r="AD34" s="116"/>
      <c r="AE34" s="116"/>
    </row>
    <row r="35" spans="2:31" ht="12.6" customHeight="1" x14ac:dyDescent="0.2">
      <c r="G35" s="125"/>
      <c r="H35" s="116"/>
      <c r="I35" s="116"/>
      <c r="J35" s="116"/>
      <c r="K35" s="116"/>
      <c r="L35" s="116"/>
      <c r="M35" s="116"/>
      <c r="Q35" s="146"/>
      <c r="R35" s="116"/>
      <c r="S35" s="116"/>
      <c r="T35" s="116"/>
      <c r="U35" s="116"/>
      <c r="V35" s="146"/>
      <c r="W35" s="146"/>
      <c r="X35" s="146"/>
      <c r="Y35" s="146"/>
      <c r="Z35" s="146"/>
      <c r="AA35" s="146"/>
      <c r="AB35" s="146"/>
      <c r="AC35" s="116"/>
      <c r="AD35" s="116"/>
      <c r="AE35" s="116"/>
    </row>
    <row r="36" spans="2:31" ht="12.6" customHeight="1" x14ac:dyDescent="0.2">
      <c r="G36" s="125"/>
      <c r="H36" s="116"/>
      <c r="I36" s="116"/>
      <c r="J36" s="116"/>
      <c r="K36" s="116"/>
      <c r="L36" s="116"/>
      <c r="M36" s="116"/>
      <c r="Q36" s="146"/>
      <c r="R36" s="116"/>
      <c r="S36" s="116"/>
      <c r="T36" s="116"/>
      <c r="U36" s="116"/>
      <c r="V36" s="146"/>
      <c r="W36" s="146"/>
      <c r="X36" s="146"/>
      <c r="Y36" s="146"/>
      <c r="Z36" s="146"/>
      <c r="AA36" s="146"/>
      <c r="AB36" s="146"/>
      <c r="AC36" s="116"/>
      <c r="AD36" s="116"/>
      <c r="AE36" s="116"/>
    </row>
    <row r="37" spans="2:31" ht="12.6" customHeight="1" x14ac:dyDescent="0.2">
      <c r="G37" s="125"/>
      <c r="H37" s="116"/>
      <c r="I37" s="116"/>
      <c r="J37" s="116"/>
      <c r="K37" s="116"/>
      <c r="L37" s="116"/>
      <c r="M37" s="116"/>
      <c r="Q37" s="146"/>
      <c r="R37" s="116"/>
      <c r="S37" s="116"/>
      <c r="T37" s="116"/>
      <c r="U37" s="116"/>
      <c r="V37" s="146"/>
      <c r="W37" s="146"/>
      <c r="X37" s="146"/>
      <c r="Y37" s="146"/>
      <c r="Z37" s="146"/>
      <c r="AA37" s="146"/>
      <c r="AB37" s="146"/>
      <c r="AC37" s="116"/>
      <c r="AD37" s="116"/>
      <c r="AE37" s="116"/>
    </row>
    <row r="38" spans="2:31" ht="12.6" customHeight="1" x14ac:dyDescent="0.2">
      <c r="G38" s="125"/>
      <c r="H38" s="116"/>
      <c r="I38" s="116"/>
      <c r="J38" s="116"/>
      <c r="K38" s="116"/>
      <c r="L38" s="116"/>
      <c r="M38" s="116"/>
      <c r="Q38" s="146"/>
      <c r="R38" s="116"/>
      <c r="S38" s="116"/>
      <c r="T38" s="116"/>
      <c r="U38" s="116"/>
      <c r="V38" s="146"/>
      <c r="W38" s="146"/>
      <c r="X38" s="146"/>
      <c r="Y38" s="146"/>
      <c r="Z38" s="146"/>
      <c r="AA38" s="146"/>
      <c r="AB38" s="146"/>
      <c r="AC38" s="116"/>
      <c r="AD38" s="116"/>
      <c r="AE38" s="116"/>
    </row>
    <row r="39" spans="2:31" ht="12.6" customHeight="1" x14ac:dyDescent="0.2">
      <c r="G39" s="125"/>
      <c r="H39" s="116"/>
      <c r="I39" s="116"/>
      <c r="J39" s="116"/>
      <c r="K39" s="116"/>
      <c r="L39" s="116"/>
      <c r="M39" s="116"/>
      <c r="Q39" s="14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</row>
    <row r="40" spans="2:31" ht="12.6" customHeight="1" x14ac:dyDescent="0.2">
      <c r="G40" s="125"/>
      <c r="H40" s="116"/>
      <c r="I40" s="116"/>
      <c r="J40" s="116"/>
      <c r="K40" s="116"/>
      <c r="L40" s="116"/>
      <c r="M40" s="116"/>
      <c r="Q40" s="14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</row>
    <row r="41" spans="2:31" ht="12.6" customHeight="1" x14ac:dyDescent="0.2">
      <c r="G41" s="125"/>
      <c r="H41" s="146"/>
      <c r="I41" s="146"/>
      <c r="J41" s="146"/>
      <c r="K41" s="146"/>
      <c r="L41" s="146"/>
      <c r="M41" s="116"/>
      <c r="Q41" s="146"/>
      <c r="R41" s="360"/>
      <c r="S41" s="360"/>
      <c r="T41" s="360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</row>
    <row r="42" spans="2:31" ht="12.6" customHeight="1" x14ac:dyDescent="0.2">
      <c r="G42" s="116"/>
      <c r="H42" s="146"/>
      <c r="I42" s="146"/>
      <c r="J42" s="146"/>
      <c r="K42" s="146"/>
      <c r="L42" s="146"/>
      <c r="M42" s="116"/>
      <c r="Q42" s="146"/>
      <c r="R42" s="361"/>
      <c r="S42" s="361"/>
      <c r="T42" s="116"/>
      <c r="U42" s="14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</row>
    <row r="43" spans="2:31" ht="12.6" customHeight="1" x14ac:dyDescent="0.2">
      <c r="G43" s="116"/>
      <c r="H43" s="146"/>
      <c r="I43" s="146"/>
      <c r="J43" s="146"/>
      <c r="K43" s="146"/>
      <c r="L43" s="146"/>
      <c r="M43" s="116"/>
      <c r="Q43" s="116"/>
      <c r="R43" s="361"/>
      <c r="S43" s="361"/>
      <c r="T43" s="116"/>
      <c r="U43" s="14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</row>
    <row r="44" spans="2:31" ht="12.6" customHeight="1" x14ac:dyDescent="0.2">
      <c r="G44" s="116"/>
      <c r="H44" s="146"/>
      <c r="I44" s="146"/>
      <c r="J44" s="146"/>
      <c r="K44" s="146"/>
      <c r="L44" s="146"/>
      <c r="M44" s="146"/>
      <c r="R44" s="361"/>
      <c r="S44" s="361"/>
      <c r="T44" s="116"/>
      <c r="U44" s="14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</row>
    <row r="45" spans="2:31" ht="12.6" customHeight="1" x14ac:dyDescent="0.2">
      <c r="G45" s="116"/>
      <c r="H45" s="146"/>
      <c r="I45" s="146"/>
      <c r="J45" s="146"/>
      <c r="K45" s="146"/>
      <c r="L45" s="146"/>
      <c r="M45" s="146"/>
      <c r="R45" s="361"/>
      <c r="S45" s="361"/>
      <c r="T45" s="116"/>
      <c r="U45" s="146"/>
      <c r="V45" s="116"/>
      <c r="W45" s="116"/>
      <c r="X45" s="116"/>
      <c r="Y45" s="116"/>
      <c r="Z45" s="116"/>
      <c r="AA45" s="116"/>
      <c r="AB45" s="116"/>
      <c r="AC45" s="116"/>
      <c r="AD45" s="116"/>
      <c r="AE45" s="116"/>
    </row>
    <row r="46" spans="2:31" ht="12.6" customHeight="1" x14ac:dyDescent="0.2">
      <c r="G46" s="116"/>
      <c r="M46" s="14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  <c r="AC46" s="116"/>
      <c r="AD46" s="116"/>
      <c r="AE46" s="116"/>
    </row>
    <row r="47" spans="2:31" ht="12.6" customHeight="1" x14ac:dyDescent="0.2">
      <c r="G47" s="116"/>
      <c r="M47" s="146"/>
      <c r="R47" s="116"/>
      <c r="S47" s="116"/>
      <c r="T47" s="116"/>
      <c r="U47" s="116"/>
      <c r="V47" s="116"/>
      <c r="W47" s="116"/>
      <c r="X47" s="116"/>
      <c r="Y47" s="116"/>
      <c r="Z47" s="116"/>
      <c r="AA47" s="116"/>
      <c r="AB47" s="116"/>
      <c r="AC47" s="116"/>
      <c r="AD47" s="116"/>
      <c r="AE47" s="116"/>
    </row>
    <row r="48" spans="2:31" ht="12.6" customHeight="1" x14ac:dyDescent="0.2">
      <c r="G48" s="116"/>
      <c r="M48" s="146"/>
    </row>
    <row r="49" spans="7:7" ht="12.6" customHeight="1" x14ac:dyDescent="0.2">
      <c r="G49" s="116"/>
    </row>
    <row r="50" spans="7:7" ht="12.6" customHeight="1" x14ac:dyDescent="0.2">
      <c r="G50" s="116"/>
    </row>
    <row r="51" spans="7:7" ht="12.6" customHeight="1" x14ac:dyDescent="0.2">
      <c r="G51" s="116"/>
    </row>
    <row r="52" spans="7:7" ht="12.6" customHeight="1" x14ac:dyDescent="0.2">
      <c r="G52" s="116"/>
    </row>
    <row r="53" spans="7:7" ht="12.6" customHeight="1" x14ac:dyDescent="0.2">
      <c r="G53" s="116"/>
    </row>
    <row r="54" spans="7:7" ht="12.6" customHeight="1" x14ac:dyDescent="0.2">
      <c r="G54" s="146"/>
    </row>
    <row r="55" spans="7:7" ht="12.6" customHeight="1" x14ac:dyDescent="0.2">
      <c r="G55" s="125"/>
    </row>
    <row r="56" spans="7:7" ht="12.6" customHeight="1" x14ac:dyDescent="0.2">
      <c r="G56" s="125"/>
    </row>
    <row r="57" spans="7:7" ht="12.6" customHeight="1" x14ac:dyDescent="0.2">
      <c r="G57" s="125"/>
    </row>
    <row r="58" spans="7:7" ht="12.6" customHeight="1" x14ac:dyDescent="0.2">
      <c r="G58" s="125"/>
    </row>
    <row r="59" spans="7:7" ht="12.6" customHeight="1" x14ac:dyDescent="0.2">
      <c r="G59" s="125"/>
    </row>
    <row r="60" spans="7:7" ht="12.6" customHeight="1" x14ac:dyDescent="0.2">
      <c r="G60" s="125"/>
    </row>
    <row r="61" spans="7:7" ht="12.6" customHeight="1" x14ac:dyDescent="0.2">
      <c r="G61" s="125"/>
    </row>
    <row r="62" spans="7:7" ht="12.6" customHeight="1" x14ac:dyDescent="0.2">
      <c r="G62" s="125"/>
    </row>
    <row r="63" spans="7:7" ht="12.6" customHeight="1" x14ac:dyDescent="0.2">
      <c r="G63" s="125"/>
    </row>
    <row r="64" spans="7:7" ht="12.6" customHeight="1" x14ac:dyDescent="0.2">
      <c r="G64" s="125"/>
    </row>
    <row r="65" spans="7:7" ht="12.6" customHeight="1" x14ac:dyDescent="0.2">
      <c r="G65" s="125"/>
    </row>
    <row r="66" spans="7:7" ht="12.6" customHeight="1" x14ac:dyDescent="0.2">
      <c r="G66" s="125"/>
    </row>
    <row r="67" spans="7:7" ht="12.6" customHeight="1" x14ac:dyDescent="0.2">
      <c r="G67" s="125"/>
    </row>
    <row r="68" spans="7:7" ht="12.6" customHeight="1" x14ac:dyDescent="0.2">
      <c r="G68" s="125"/>
    </row>
  </sheetData>
  <sortState xmlns:xlrd2="http://schemas.microsoft.com/office/spreadsheetml/2017/richdata2" ref="N4:P14">
    <sortCondition descending="1" ref="P4:P14"/>
    <sortCondition ref="N4:N14"/>
  </sortState>
  <phoneticPr fontId="9" type="noConversion"/>
  <pageMargins left="0.75" right="0.75" top="1" bottom="1" header="0.5" footer="0.5"/>
  <pageSetup paperSize="9" orientation="portrait" r:id="rId1"/>
  <headerFooter alignWithMargins="0"/>
  <ignoredErrors>
    <ignoredError sqref="C1:C3 C6 C9 C12 C15 C18 C21 C24 C27 L27 H7:H18 I9 I12 I15 I18 H19:H23 I21 N1:P2 L6 B1:B29 A2:A65536 G39:G65536 L7:L18 H39:L65539 F1:G29 Q10:Q12 N15:O65535 M1:M65536 D1:E4 H27:I27 H1:L2 B35:F65536 Q1:Q8 Q15:Q65536 L19:L23 H6:I6 R1:IV65536 P15:P65535" evalError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AN68"/>
  <sheetViews>
    <sheetView zoomScale="85" zoomScaleNormal="85" workbookViewId="0">
      <selection activeCell="A80" sqref="A80"/>
    </sheetView>
  </sheetViews>
  <sheetFormatPr defaultColWidth="9.140625" defaultRowHeight="12.6" customHeight="1" x14ac:dyDescent="0.2"/>
  <cols>
    <col min="1" max="1" width="4.140625" style="125" customWidth="1"/>
    <col min="2" max="2" width="3" style="125" customWidth="1"/>
    <col min="3" max="3" width="20.140625" style="125" customWidth="1"/>
    <col min="4" max="4" width="18.42578125" style="125" bestFit="1" customWidth="1"/>
    <col min="5" max="5" width="6.42578125" style="125" customWidth="1"/>
    <col min="6" max="6" width="3" style="125" customWidth="1"/>
    <col min="7" max="7" width="1.85546875" style="357" customWidth="1"/>
    <col min="8" max="8" width="3" style="125" customWidth="1"/>
    <col min="9" max="9" width="20.140625" style="125" customWidth="1"/>
    <col min="10" max="10" width="16.7109375" style="125" customWidth="1"/>
    <col min="11" max="11" width="5.28515625" style="125" customWidth="1"/>
    <col min="12" max="12" width="3" style="125" customWidth="1"/>
    <col min="13" max="13" width="1.85546875" style="125" customWidth="1"/>
    <col min="14" max="14" width="23" style="125" customWidth="1"/>
    <col min="15" max="16" width="5.28515625" style="125" customWidth="1"/>
    <col min="17" max="17" width="3" style="125" customWidth="1"/>
    <col min="18" max="16384" width="9.140625" style="125"/>
  </cols>
  <sheetData>
    <row r="1" spans="2:40" ht="13.5" customHeight="1" x14ac:dyDescent="0.2"/>
    <row r="2" spans="2:40" ht="13.5" customHeight="1" x14ac:dyDescent="0.2">
      <c r="B2" s="362"/>
      <c r="C2" s="363" t="s">
        <v>223</v>
      </c>
      <c r="D2" s="203"/>
      <c r="E2" s="203"/>
      <c r="F2" s="127"/>
      <c r="G2" s="358"/>
      <c r="H2" s="127"/>
      <c r="I2" s="127"/>
      <c r="J2" s="127"/>
      <c r="K2" s="127"/>
      <c r="L2" s="127"/>
      <c r="M2" s="127"/>
      <c r="N2" s="127"/>
      <c r="O2" s="127"/>
      <c r="P2" s="127"/>
      <c r="Q2" s="116"/>
      <c r="R2" s="116"/>
      <c r="S2" s="116"/>
      <c r="T2" s="116"/>
      <c r="U2" s="116"/>
      <c r="V2" s="116"/>
      <c r="W2" s="116"/>
      <c r="X2" s="116"/>
      <c r="Y2" s="116"/>
      <c r="Z2" s="116"/>
      <c r="AA2" s="116"/>
      <c r="AB2" s="116"/>
      <c r="AC2" s="116"/>
      <c r="AD2" s="116"/>
      <c r="AE2" s="116"/>
      <c r="AF2" s="116"/>
      <c r="AG2" s="116"/>
      <c r="AH2" s="116"/>
      <c r="AI2" s="116"/>
      <c r="AJ2" s="116"/>
      <c r="AK2" s="116"/>
      <c r="AL2" s="116"/>
      <c r="AM2" s="126"/>
      <c r="AN2" s="126"/>
    </row>
    <row r="3" spans="2:40" ht="13.5" customHeight="1" x14ac:dyDescent="0.2">
      <c r="B3" s="366"/>
      <c r="C3" s="367"/>
      <c r="D3" s="367"/>
      <c r="E3" s="367"/>
      <c r="F3" s="368"/>
      <c r="G3" s="124"/>
      <c r="H3" s="387"/>
      <c r="I3" s="388"/>
      <c r="J3" s="388"/>
      <c r="K3" s="389"/>
      <c r="L3" s="368"/>
      <c r="M3" s="127"/>
      <c r="N3" s="188" t="s">
        <v>16</v>
      </c>
      <c r="O3" s="364"/>
      <c r="P3" s="365"/>
      <c r="Q3" s="116"/>
      <c r="R3" s="116"/>
      <c r="S3" s="116"/>
      <c r="T3" s="116"/>
      <c r="U3" s="116"/>
      <c r="V3" s="359"/>
      <c r="W3" s="116"/>
      <c r="X3" s="116"/>
      <c r="Y3" s="116"/>
      <c r="Z3" s="116"/>
      <c r="AA3" s="239"/>
      <c r="AB3" s="359"/>
      <c r="AC3" s="116"/>
      <c r="AD3" s="116"/>
      <c r="AE3" s="116"/>
    </row>
    <row r="4" spans="2:40" ht="13.5" customHeight="1" x14ac:dyDescent="0.2">
      <c r="B4" s="369"/>
      <c r="C4" s="370" t="str">
        <f>Fixtures!B3</f>
        <v>Sun 22 Apr</v>
      </c>
      <c r="D4" s="371"/>
      <c r="E4" s="371"/>
      <c r="F4" s="372"/>
      <c r="G4" s="124"/>
      <c r="H4" s="369"/>
      <c r="I4" s="370" t="str">
        <f>Fixtures!B13</f>
        <v>Sat 30 Jun</v>
      </c>
      <c r="J4" s="371"/>
      <c r="K4" s="371"/>
      <c r="L4" s="390"/>
      <c r="M4" s="127"/>
      <c r="N4" s="158" t="s">
        <v>216</v>
      </c>
      <c r="O4" s="395" t="s">
        <v>189</v>
      </c>
      <c r="P4" s="170">
        <f t="shared" ref="P4:P13" si="0">COUNTIF($D$3:$D$33,$N4)+COUNTIF($J$3:$J$33,$N4)</f>
        <v>2</v>
      </c>
      <c r="Q4" s="116"/>
      <c r="R4" s="116"/>
      <c r="S4" s="116"/>
      <c r="T4" s="116"/>
      <c r="U4" s="116"/>
      <c r="V4" s="359"/>
      <c r="W4" s="116"/>
      <c r="X4" s="116"/>
      <c r="Y4" s="116"/>
      <c r="Z4" s="116"/>
      <c r="AA4" s="239"/>
      <c r="AB4" s="239"/>
      <c r="AC4" s="116"/>
      <c r="AD4" s="116"/>
      <c r="AE4" s="116"/>
    </row>
    <row r="5" spans="2:40" ht="13.5" customHeight="1" x14ac:dyDescent="0.2">
      <c r="B5" s="373"/>
      <c r="C5" s="374" t="str">
        <f>Fixtures!C3</f>
        <v>Highgate</v>
      </c>
      <c r="D5" s="374" t="s">
        <v>271</v>
      </c>
      <c r="E5" s="375"/>
      <c r="F5" s="376"/>
      <c r="G5" s="124"/>
      <c r="H5" s="373"/>
      <c r="I5" s="374" t="str">
        <f>Fixtures!C13</f>
        <v>Royal Household</v>
      </c>
      <c r="J5" s="374" t="s">
        <v>281</v>
      </c>
      <c r="K5" s="375" t="s">
        <v>222</v>
      </c>
      <c r="L5" s="390"/>
      <c r="M5" s="127"/>
      <c r="N5" s="158" t="s">
        <v>167</v>
      </c>
      <c r="O5" s="395" t="s">
        <v>189</v>
      </c>
      <c r="P5" s="170">
        <f t="shared" si="0"/>
        <v>2</v>
      </c>
      <c r="Q5" s="116"/>
      <c r="R5" s="116"/>
      <c r="S5" s="116"/>
      <c r="T5" s="116"/>
      <c r="U5" s="116"/>
      <c r="V5" s="146"/>
      <c r="W5" s="146"/>
      <c r="X5" s="146"/>
      <c r="Y5" s="146"/>
      <c r="Z5" s="146"/>
      <c r="AA5" s="146"/>
      <c r="AB5" s="146"/>
      <c r="AC5" s="116"/>
      <c r="AD5" s="116"/>
      <c r="AE5" s="116"/>
    </row>
    <row r="6" spans="2:40" ht="13.5" customHeight="1" x14ac:dyDescent="0.2">
      <c r="B6" s="373"/>
      <c r="C6" s="374"/>
      <c r="D6" s="374"/>
      <c r="E6" s="375"/>
      <c r="F6" s="376"/>
      <c r="G6" s="124"/>
      <c r="H6" s="299"/>
      <c r="I6" s="391"/>
      <c r="J6" s="391"/>
      <c r="K6" s="391"/>
      <c r="L6" s="382"/>
      <c r="M6" s="127"/>
      <c r="N6" s="158" t="s">
        <v>206</v>
      </c>
      <c r="O6" s="395" t="s">
        <v>188</v>
      </c>
      <c r="P6" s="170">
        <f t="shared" si="0"/>
        <v>1</v>
      </c>
      <c r="Q6" s="116"/>
      <c r="R6" s="116"/>
      <c r="S6" s="116"/>
      <c r="T6" s="116"/>
      <c r="U6" s="116"/>
      <c r="V6" s="146"/>
      <c r="W6" s="146"/>
      <c r="X6" s="146"/>
      <c r="Y6" s="146"/>
      <c r="Z6" s="146"/>
      <c r="AA6" s="146"/>
      <c r="AB6" s="146"/>
      <c r="AC6" s="116"/>
      <c r="AD6" s="116"/>
      <c r="AE6" s="116"/>
    </row>
    <row r="7" spans="2:40" ht="13.5" customHeight="1" x14ac:dyDescent="0.2">
      <c r="B7" s="369"/>
      <c r="C7" s="370" t="str">
        <f>Fixtures!B4</f>
        <v>Sun 29 Apr</v>
      </c>
      <c r="D7" s="374"/>
      <c r="E7" s="375"/>
      <c r="F7" s="372"/>
      <c r="G7" s="124"/>
      <c r="H7" s="373"/>
      <c r="I7" s="370" t="str">
        <f>Fixtures!B14</f>
        <v>Sun 08 Jul</v>
      </c>
      <c r="J7" s="371"/>
      <c r="K7" s="371"/>
      <c r="L7" s="390"/>
      <c r="M7" s="127"/>
      <c r="N7" s="158" t="s">
        <v>31</v>
      </c>
      <c r="O7" s="395" t="s">
        <v>191</v>
      </c>
      <c r="P7" s="170">
        <f t="shared" si="0"/>
        <v>1</v>
      </c>
      <c r="Q7" s="116"/>
      <c r="R7" s="116"/>
      <c r="S7" s="116"/>
      <c r="T7" s="116"/>
      <c r="U7" s="116"/>
      <c r="V7" s="146"/>
      <c r="W7" s="146"/>
      <c r="X7" s="146"/>
      <c r="Y7" s="146"/>
      <c r="Z7" s="146"/>
      <c r="AA7" s="146"/>
      <c r="AB7" s="146"/>
      <c r="AC7" s="116"/>
      <c r="AD7" s="116"/>
      <c r="AE7" s="116"/>
    </row>
    <row r="8" spans="2:40" ht="13.5" customHeight="1" x14ac:dyDescent="0.2">
      <c r="B8" s="373"/>
      <c r="C8" s="377" t="str">
        <f>Fixtures!C4</f>
        <v>Harrow St. Mary's</v>
      </c>
      <c r="D8" s="374" t="s">
        <v>271</v>
      </c>
      <c r="E8" s="375"/>
      <c r="F8" s="376"/>
      <c r="G8" s="124"/>
      <c r="H8" s="373"/>
      <c r="I8" s="374" t="str">
        <f>Fixtures!C14</f>
        <v>Crouch End</v>
      </c>
      <c r="J8" s="374" t="s">
        <v>282</v>
      </c>
      <c r="K8" s="375" t="s">
        <v>222</v>
      </c>
      <c r="L8" s="390"/>
      <c r="M8" s="127"/>
      <c r="N8" s="158" t="s">
        <v>273</v>
      </c>
      <c r="O8" s="395" t="s">
        <v>274</v>
      </c>
      <c r="P8" s="170">
        <f t="shared" si="0"/>
        <v>1</v>
      </c>
      <c r="Q8" s="116"/>
      <c r="R8" s="116"/>
      <c r="S8" s="116"/>
      <c r="T8" s="116"/>
      <c r="U8" s="116"/>
      <c r="V8" s="146"/>
      <c r="W8" s="146"/>
      <c r="X8" s="146"/>
      <c r="Y8" s="146"/>
      <c r="Z8" s="146"/>
      <c r="AA8" s="146"/>
      <c r="AB8" s="146"/>
      <c r="AC8" s="116"/>
      <c r="AD8" s="116"/>
      <c r="AE8" s="116"/>
    </row>
    <row r="9" spans="2:40" ht="13.5" customHeight="1" x14ac:dyDescent="0.2">
      <c r="B9" s="373"/>
      <c r="C9" s="378"/>
      <c r="D9" s="374"/>
      <c r="E9" s="375"/>
      <c r="F9" s="376"/>
      <c r="G9" s="124"/>
      <c r="H9" s="373"/>
      <c r="I9" s="374"/>
      <c r="J9" s="374"/>
      <c r="K9" s="374"/>
      <c r="L9" s="390"/>
      <c r="M9" s="127"/>
      <c r="N9" s="158" t="s">
        <v>281</v>
      </c>
      <c r="O9" s="395" t="s">
        <v>222</v>
      </c>
      <c r="P9" s="170">
        <f t="shared" si="0"/>
        <v>1</v>
      </c>
      <c r="Q9" s="116"/>
      <c r="R9" s="116"/>
      <c r="S9" s="116"/>
      <c r="T9" s="116"/>
      <c r="U9" s="116"/>
      <c r="V9" s="146"/>
      <c r="W9" s="146"/>
      <c r="X9" s="146"/>
      <c r="Y9" s="146"/>
      <c r="Z9" s="146"/>
      <c r="AA9" s="146"/>
      <c r="AB9" s="146"/>
      <c r="AC9" s="116"/>
      <c r="AD9" s="116"/>
      <c r="AE9" s="116"/>
    </row>
    <row r="10" spans="2:40" ht="13.5" customHeight="1" x14ac:dyDescent="0.2">
      <c r="B10" s="369"/>
      <c r="C10" s="370" t="str">
        <f>Fixtures!B5</f>
        <v>Sun 06 May</v>
      </c>
      <c r="D10" s="371"/>
      <c r="E10" s="371"/>
      <c r="F10" s="372"/>
      <c r="G10" s="124"/>
      <c r="H10" s="373"/>
      <c r="I10" s="370" t="str">
        <f>Fixtures!B15</f>
        <v>Sun 15 Jul</v>
      </c>
      <c r="J10" s="374"/>
      <c r="K10" s="374"/>
      <c r="L10" s="390"/>
      <c r="M10" s="127"/>
      <c r="N10" s="158" t="s">
        <v>282</v>
      </c>
      <c r="O10" s="395" t="s">
        <v>222</v>
      </c>
      <c r="P10" s="170">
        <f t="shared" si="0"/>
        <v>1</v>
      </c>
      <c r="Q10" s="116"/>
      <c r="R10" s="116"/>
      <c r="S10" s="116"/>
      <c r="T10" s="116"/>
      <c r="U10" s="116"/>
      <c r="V10" s="146"/>
      <c r="W10" s="146"/>
      <c r="X10" s="146"/>
      <c r="Y10" s="146"/>
      <c r="Z10" s="146"/>
      <c r="AA10" s="146"/>
      <c r="AB10" s="146"/>
      <c r="AC10" s="116"/>
      <c r="AD10" s="116"/>
      <c r="AE10" s="116"/>
    </row>
    <row r="11" spans="2:40" ht="13.5" customHeight="1" x14ac:dyDescent="0.2">
      <c r="B11" s="373"/>
      <c r="C11" s="377" t="str">
        <f>Fixtures!C5</f>
        <v>Ickenham</v>
      </c>
      <c r="D11" s="374" t="s">
        <v>167</v>
      </c>
      <c r="E11" s="375" t="s">
        <v>189</v>
      </c>
      <c r="F11" s="376"/>
      <c r="G11" s="124"/>
      <c r="H11" s="373"/>
      <c r="I11" s="374" t="str">
        <f>Fixtures!C15</f>
        <v>Holtwhites Trinibis</v>
      </c>
      <c r="J11" s="374" t="s">
        <v>271</v>
      </c>
      <c r="K11" s="375"/>
      <c r="L11" s="390"/>
      <c r="M11" s="127"/>
      <c r="N11" s="158" t="s">
        <v>217</v>
      </c>
      <c r="O11" s="395" t="s">
        <v>188</v>
      </c>
      <c r="P11" s="170">
        <f t="shared" si="0"/>
        <v>1</v>
      </c>
      <c r="Q11" s="116"/>
      <c r="R11" s="116"/>
      <c r="S11" s="116"/>
      <c r="T11" s="116"/>
      <c r="U11" s="116"/>
      <c r="V11" s="146"/>
      <c r="W11" s="146"/>
      <c r="X11" s="146"/>
      <c r="Y11" s="146"/>
      <c r="Z11" s="146"/>
      <c r="AA11" s="146"/>
      <c r="AB11" s="146"/>
      <c r="AC11" s="116"/>
      <c r="AD11" s="116"/>
      <c r="AE11" s="116"/>
    </row>
    <row r="12" spans="2:40" ht="13.5" customHeight="1" x14ac:dyDescent="0.2">
      <c r="B12" s="373"/>
      <c r="C12" s="378"/>
      <c r="D12" s="374"/>
      <c r="E12" s="375"/>
      <c r="F12" s="376"/>
      <c r="G12" s="124"/>
      <c r="H12" s="373"/>
      <c r="I12" s="374"/>
      <c r="J12" s="374"/>
      <c r="K12" s="374"/>
      <c r="L12" s="390"/>
      <c r="M12" s="127"/>
      <c r="N12" s="158" t="s">
        <v>185</v>
      </c>
      <c r="O12" s="395" t="s">
        <v>188</v>
      </c>
      <c r="P12" s="170">
        <f t="shared" si="0"/>
        <v>1</v>
      </c>
      <c r="Q12" s="116"/>
      <c r="R12" s="116"/>
      <c r="S12" s="116"/>
      <c r="T12" s="116"/>
      <c r="U12" s="116"/>
      <c r="V12" s="146"/>
      <c r="W12" s="146"/>
      <c r="X12" s="146"/>
      <c r="Y12" s="146"/>
      <c r="Z12" s="146"/>
      <c r="AA12" s="146"/>
      <c r="AB12" s="146"/>
      <c r="AC12" s="116"/>
      <c r="AD12" s="116"/>
      <c r="AE12" s="116"/>
    </row>
    <row r="13" spans="2:40" ht="13.5" customHeight="1" x14ac:dyDescent="0.2">
      <c r="B13" s="369"/>
      <c r="C13" s="370" t="str">
        <f>Fixtures!B6</f>
        <v>Sun 13 May</v>
      </c>
      <c r="D13" s="374"/>
      <c r="E13" s="375"/>
      <c r="F13" s="372"/>
      <c r="G13" s="124"/>
      <c r="H13" s="373"/>
      <c r="I13" s="370" t="str">
        <f>Fixtures!B16</f>
        <v>Sun 22 Jul</v>
      </c>
      <c r="J13" s="374"/>
      <c r="K13" s="374"/>
      <c r="L13" s="390"/>
      <c r="M13" s="127"/>
      <c r="N13" s="197" t="s">
        <v>138</v>
      </c>
      <c r="O13" s="396" t="s">
        <v>193</v>
      </c>
      <c r="P13" s="199">
        <f t="shared" si="0"/>
        <v>1</v>
      </c>
      <c r="Q13" s="146"/>
      <c r="R13" s="116"/>
      <c r="S13" s="116"/>
      <c r="T13" s="116"/>
      <c r="U13" s="116"/>
      <c r="V13" s="146"/>
      <c r="W13" s="146"/>
      <c r="X13" s="146"/>
      <c r="Y13" s="146"/>
      <c r="Z13" s="146"/>
      <c r="AA13" s="146"/>
      <c r="AB13" s="146"/>
      <c r="AC13" s="116"/>
      <c r="AD13" s="116"/>
      <c r="AE13" s="116"/>
    </row>
    <row r="14" spans="2:40" ht="13.5" customHeight="1" x14ac:dyDescent="0.2">
      <c r="B14" s="373"/>
      <c r="C14" s="377" t="str">
        <f>Fixtures!C6</f>
        <v>Northwood</v>
      </c>
      <c r="D14" s="374" t="s">
        <v>217</v>
      </c>
      <c r="E14" s="375" t="s">
        <v>188</v>
      </c>
      <c r="F14" s="376"/>
      <c r="G14" s="124"/>
      <c r="H14" s="373"/>
      <c r="I14" s="374" t="str">
        <f>Fixtures!C16</f>
        <v>Teddington</v>
      </c>
      <c r="J14" s="374" t="s">
        <v>216</v>
      </c>
      <c r="K14" s="375" t="s">
        <v>189</v>
      </c>
      <c r="L14" s="390"/>
      <c r="M14" s="127"/>
      <c r="Q14" s="146"/>
      <c r="R14" s="116"/>
      <c r="S14" s="116"/>
      <c r="T14" s="116"/>
      <c r="U14" s="116"/>
      <c r="V14" s="146"/>
      <c r="W14" s="146"/>
      <c r="X14" s="146"/>
      <c r="Y14" s="146"/>
      <c r="Z14" s="146"/>
      <c r="AA14" s="146"/>
      <c r="AB14" s="146"/>
      <c r="AC14" s="116"/>
      <c r="AD14" s="116"/>
      <c r="AE14" s="116"/>
    </row>
    <row r="15" spans="2:40" ht="13.5" customHeight="1" x14ac:dyDescent="0.2">
      <c r="B15" s="373"/>
      <c r="C15" s="378"/>
      <c r="D15" s="374"/>
      <c r="E15" s="375"/>
      <c r="F15" s="376"/>
      <c r="G15" s="124"/>
      <c r="H15" s="373"/>
      <c r="I15" s="374"/>
      <c r="J15" s="374"/>
      <c r="K15" s="374"/>
      <c r="L15" s="390"/>
      <c r="M15" s="127"/>
      <c r="Q15" s="116"/>
      <c r="R15" s="116"/>
      <c r="S15" s="116"/>
      <c r="T15" s="116"/>
      <c r="U15" s="116"/>
      <c r="V15" s="146"/>
      <c r="W15" s="146"/>
      <c r="X15" s="146"/>
      <c r="Y15" s="146"/>
      <c r="Z15" s="146"/>
      <c r="AA15" s="146"/>
      <c r="AB15" s="146"/>
      <c r="AC15" s="116"/>
      <c r="AD15" s="116"/>
      <c r="AE15" s="116"/>
    </row>
    <row r="16" spans="2:40" ht="13.5" customHeight="1" x14ac:dyDescent="0.2">
      <c r="B16" s="369"/>
      <c r="C16" s="379" t="str">
        <f>Fixtures!B7</f>
        <v>Sun 20 May</v>
      </c>
      <c r="D16" s="374"/>
      <c r="E16" s="375"/>
      <c r="F16" s="372"/>
      <c r="G16" s="124"/>
      <c r="H16" s="373"/>
      <c r="I16" s="370" t="str">
        <f>Fixtures!B17</f>
        <v>Sun 29 Jul</v>
      </c>
      <c r="J16" s="374"/>
      <c r="K16" s="374"/>
      <c r="L16" s="390"/>
      <c r="M16" s="127"/>
      <c r="Q16" s="116"/>
      <c r="R16" s="116"/>
      <c r="S16" s="146"/>
      <c r="T16" s="146"/>
      <c r="U16" s="146"/>
      <c r="V16" s="146"/>
      <c r="W16" s="146"/>
      <c r="X16" s="146"/>
      <c r="Y16" s="146"/>
      <c r="Z16" s="116"/>
      <c r="AA16" s="116"/>
      <c r="AB16" s="116"/>
    </row>
    <row r="17" spans="2:31" ht="13.5" customHeight="1" x14ac:dyDescent="0.2">
      <c r="B17" s="373"/>
      <c r="C17" s="377" t="str">
        <f>Fixtures!C7</f>
        <v>Kew</v>
      </c>
      <c r="D17" s="374" t="s">
        <v>31</v>
      </c>
      <c r="E17" s="375" t="s">
        <v>191</v>
      </c>
      <c r="F17" s="376"/>
      <c r="G17" s="124"/>
      <c r="H17" s="373"/>
      <c r="I17" s="374" t="str">
        <f>Fixtures!C17</f>
        <v>Old Wimbledonians</v>
      </c>
      <c r="J17" s="374" t="s">
        <v>271</v>
      </c>
      <c r="K17" s="375"/>
      <c r="L17" s="390"/>
      <c r="M17" s="127"/>
      <c r="Q17" s="116"/>
      <c r="R17" s="116"/>
      <c r="S17" s="146"/>
      <c r="T17" s="146"/>
      <c r="U17" s="146"/>
      <c r="V17" s="146"/>
      <c r="W17" s="146"/>
      <c r="X17" s="146"/>
      <c r="Y17" s="146"/>
      <c r="Z17" s="116"/>
      <c r="AA17" s="116"/>
      <c r="AB17" s="116"/>
    </row>
    <row r="18" spans="2:31" ht="13.5" customHeight="1" x14ac:dyDescent="0.2">
      <c r="B18" s="373"/>
      <c r="C18" s="378"/>
      <c r="D18" s="380"/>
      <c r="E18" s="380"/>
      <c r="F18" s="376"/>
      <c r="G18" s="124"/>
      <c r="H18" s="373"/>
      <c r="I18" s="374"/>
      <c r="J18" s="392"/>
      <c r="K18" s="392"/>
      <c r="L18" s="390"/>
      <c r="M18" s="127"/>
      <c r="Q18" s="116"/>
      <c r="R18" s="116"/>
      <c r="S18" s="146"/>
      <c r="T18" s="146"/>
      <c r="U18" s="146"/>
      <c r="V18" s="146"/>
      <c r="W18" s="146"/>
      <c r="X18" s="146"/>
      <c r="Y18" s="146"/>
      <c r="Z18" s="116"/>
      <c r="AA18" s="116"/>
      <c r="AB18" s="116"/>
    </row>
    <row r="19" spans="2:31" ht="13.5" customHeight="1" x14ac:dyDescent="0.2">
      <c r="B19" s="369"/>
      <c r="C19" s="370" t="str">
        <f>Fixtures!B8</f>
        <v>Sun 27 May</v>
      </c>
      <c r="D19" s="371"/>
      <c r="E19" s="371"/>
      <c r="F19" s="372"/>
      <c r="G19" s="124"/>
      <c r="H19" s="373"/>
      <c r="I19" s="370" t="str">
        <f>Fixtures!B18</f>
        <v>Sun 05 Aug</v>
      </c>
      <c r="J19" s="392"/>
      <c r="K19" s="392"/>
      <c r="L19" s="390"/>
      <c r="M19" s="127"/>
      <c r="Q19" s="116"/>
      <c r="R19" s="116"/>
      <c r="S19" s="146"/>
      <c r="T19" s="146"/>
      <c r="U19" s="146"/>
      <c r="V19" s="146"/>
      <c r="W19" s="146"/>
      <c r="X19" s="146"/>
      <c r="Y19" s="146"/>
      <c r="Z19" s="116"/>
      <c r="AA19" s="116"/>
      <c r="AB19" s="116"/>
    </row>
    <row r="20" spans="2:31" ht="13.5" customHeight="1" x14ac:dyDescent="0.2">
      <c r="B20" s="373"/>
      <c r="C20" s="374" t="str">
        <f>Fixtures!C8</f>
        <v>Barnes</v>
      </c>
      <c r="D20" s="374" t="s">
        <v>271</v>
      </c>
      <c r="E20" s="375"/>
      <c r="F20" s="376"/>
      <c r="G20" s="124"/>
      <c r="H20" s="373"/>
      <c r="I20" s="374" t="str">
        <f>Fixtures!C18</f>
        <v>Shepherd's Bush</v>
      </c>
      <c r="J20" s="374" t="s">
        <v>206</v>
      </c>
      <c r="K20" s="375" t="s">
        <v>188</v>
      </c>
      <c r="L20" s="390"/>
      <c r="M20" s="127"/>
      <c r="Q20" s="116"/>
      <c r="R20" s="116"/>
      <c r="S20" s="146"/>
      <c r="T20" s="146"/>
      <c r="U20" s="146"/>
      <c r="V20" s="146"/>
      <c r="W20" s="146"/>
      <c r="X20" s="146"/>
      <c r="Y20" s="146"/>
      <c r="Z20" s="116"/>
      <c r="AA20" s="116"/>
      <c r="AB20" s="116"/>
    </row>
    <row r="21" spans="2:31" ht="13.5" customHeight="1" x14ac:dyDescent="0.2">
      <c r="B21" s="373"/>
      <c r="C21" s="378"/>
      <c r="D21" s="380"/>
      <c r="E21" s="380"/>
      <c r="F21" s="376"/>
      <c r="G21" s="124"/>
      <c r="H21" s="373"/>
      <c r="I21" s="393"/>
      <c r="J21" s="374"/>
      <c r="K21" s="374"/>
      <c r="L21" s="390"/>
      <c r="M21" s="127"/>
      <c r="Q21" s="116"/>
      <c r="R21" s="116"/>
      <c r="S21" s="146"/>
      <c r="T21" s="146"/>
      <c r="U21" s="146"/>
      <c r="V21" s="146"/>
      <c r="W21" s="146"/>
      <c r="X21" s="146"/>
      <c r="Y21" s="146"/>
      <c r="Z21" s="116"/>
      <c r="AA21" s="116"/>
      <c r="AB21" s="116"/>
    </row>
    <row r="22" spans="2:31" ht="13.5" customHeight="1" x14ac:dyDescent="0.2">
      <c r="B22" s="369"/>
      <c r="C22" s="370" t="str">
        <f>Fixtures!B9</f>
        <v>Sun 03 Jun</v>
      </c>
      <c r="D22" s="371"/>
      <c r="E22" s="371"/>
      <c r="F22" s="372"/>
      <c r="G22" s="124"/>
      <c r="H22" s="373"/>
      <c r="I22" s="370" t="str">
        <f>Fixtures!B19</f>
        <v>Sun 12 Aug</v>
      </c>
      <c r="J22" s="392"/>
      <c r="K22" s="392"/>
      <c r="L22" s="390"/>
      <c r="M22" s="127"/>
      <c r="Q22" s="116"/>
      <c r="R22" s="116"/>
      <c r="S22" s="146"/>
      <c r="T22" s="146"/>
      <c r="U22" s="146"/>
      <c r="V22" s="146"/>
      <c r="W22" s="146"/>
      <c r="X22" s="146"/>
      <c r="Y22" s="146"/>
      <c r="Z22" s="116"/>
      <c r="AA22" s="116"/>
      <c r="AB22" s="116"/>
    </row>
    <row r="23" spans="2:31" ht="13.5" customHeight="1" x14ac:dyDescent="0.2">
      <c r="B23" s="373"/>
      <c r="C23" s="374" t="str">
        <f>Fixtures!C9</f>
        <v>Putney</v>
      </c>
      <c r="D23" s="374" t="s">
        <v>273</v>
      </c>
      <c r="E23" s="375" t="s">
        <v>274</v>
      </c>
      <c r="F23" s="376"/>
      <c r="G23" s="124"/>
      <c r="H23" s="373"/>
      <c r="I23" s="374" t="str">
        <f>Fixtures!C19</f>
        <v>Missenden Misfits</v>
      </c>
      <c r="J23" s="374" t="s">
        <v>167</v>
      </c>
      <c r="K23" s="375" t="s">
        <v>189</v>
      </c>
      <c r="L23" s="390"/>
      <c r="M23" s="127"/>
      <c r="Q23" s="116"/>
      <c r="R23" s="116"/>
      <c r="S23" s="146"/>
      <c r="T23" s="146"/>
      <c r="U23" s="146"/>
      <c r="V23" s="146"/>
      <c r="W23" s="146"/>
      <c r="X23" s="146"/>
      <c r="Y23" s="146"/>
      <c r="Z23" s="116"/>
      <c r="AA23" s="116"/>
      <c r="AB23" s="116"/>
    </row>
    <row r="24" spans="2:31" ht="13.5" customHeight="1" x14ac:dyDescent="0.2">
      <c r="B24" s="373"/>
      <c r="C24" s="378"/>
      <c r="D24" s="378"/>
      <c r="E24" s="378"/>
      <c r="F24" s="376"/>
      <c r="G24" s="124"/>
      <c r="H24" s="373"/>
      <c r="I24" s="374"/>
      <c r="J24" s="374"/>
      <c r="K24" s="375"/>
      <c r="L24" s="390"/>
      <c r="M24" s="127"/>
      <c r="Q24" s="116"/>
      <c r="R24" s="116"/>
      <c r="S24" s="146"/>
      <c r="T24" s="146"/>
      <c r="U24" s="146"/>
      <c r="V24" s="146"/>
      <c r="W24" s="146"/>
      <c r="X24" s="146"/>
      <c r="Y24" s="146"/>
      <c r="Z24" s="116"/>
      <c r="AA24" s="116"/>
      <c r="AB24" s="116"/>
    </row>
    <row r="25" spans="2:31" ht="13.5" customHeight="1" x14ac:dyDescent="0.2">
      <c r="B25" s="369"/>
      <c r="C25" s="370" t="str">
        <f>Fixtures!B10</f>
        <v>Sun 10 Jun</v>
      </c>
      <c r="D25" s="371"/>
      <c r="E25" s="371"/>
      <c r="F25" s="372"/>
      <c r="G25" s="124"/>
      <c r="H25" s="373"/>
      <c r="I25" s="370" t="str">
        <f>Fixtures!B20</f>
        <v>Sat 18 Aug</v>
      </c>
      <c r="J25" s="374"/>
      <c r="K25" s="375"/>
      <c r="L25" s="390"/>
      <c r="M25" s="127"/>
      <c r="Q25" s="116"/>
      <c r="R25" s="116"/>
      <c r="S25" s="146"/>
      <c r="T25" s="146"/>
      <c r="U25" s="146"/>
      <c r="V25" s="146"/>
      <c r="W25" s="146"/>
      <c r="X25" s="146"/>
      <c r="Y25" s="146"/>
      <c r="Z25" s="116"/>
      <c r="AA25" s="116"/>
      <c r="AB25" s="116"/>
    </row>
    <row r="26" spans="2:31" ht="13.5" customHeight="1" x14ac:dyDescent="0.2">
      <c r="B26" s="373"/>
      <c r="C26" s="374" t="str">
        <f>Fixtures!C10</f>
        <v>Chingford</v>
      </c>
      <c r="D26" s="374" t="s">
        <v>216</v>
      </c>
      <c r="E26" s="375" t="s">
        <v>189</v>
      </c>
      <c r="F26" s="376"/>
      <c r="G26" s="124"/>
      <c r="H26" s="373"/>
      <c r="I26" s="374" t="str">
        <f>Fixtures!C20</f>
        <v>Post Modernists</v>
      </c>
      <c r="J26" s="374" t="s">
        <v>55</v>
      </c>
      <c r="K26" s="375" t="s">
        <v>191</v>
      </c>
      <c r="L26" s="390"/>
      <c r="M26" s="127"/>
      <c r="Q26" s="116"/>
      <c r="R26" s="116"/>
      <c r="S26" s="146"/>
      <c r="T26" s="146"/>
      <c r="U26" s="146"/>
      <c r="V26" s="146"/>
      <c r="W26" s="146"/>
      <c r="X26" s="146"/>
      <c r="Y26" s="146"/>
      <c r="Z26" s="116"/>
      <c r="AA26" s="116"/>
      <c r="AB26" s="116"/>
    </row>
    <row r="27" spans="2:31" ht="13.5" customHeight="1" x14ac:dyDescent="0.2">
      <c r="B27" s="373"/>
      <c r="C27" s="381"/>
      <c r="D27" s="374"/>
      <c r="E27" s="375"/>
      <c r="F27" s="376"/>
      <c r="G27" s="124"/>
      <c r="H27" s="373"/>
      <c r="I27" s="374"/>
      <c r="J27" s="374"/>
      <c r="K27" s="375"/>
      <c r="L27" s="390"/>
      <c r="M27" s="127"/>
      <c r="Q27" s="116"/>
      <c r="R27" s="116"/>
      <c r="S27" s="116"/>
      <c r="T27" s="116"/>
      <c r="U27" s="116"/>
      <c r="V27" s="146"/>
      <c r="W27" s="146"/>
      <c r="X27" s="146"/>
      <c r="Y27" s="146"/>
      <c r="Z27" s="146"/>
      <c r="AA27" s="146"/>
      <c r="AB27" s="146"/>
      <c r="AC27" s="116"/>
      <c r="AD27" s="116"/>
      <c r="AE27" s="116"/>
    </row>
    <row r="28" spans="2:31" ht="13.5" customHeight="1" x14ac:dyDescent="0.2">
      <c r="B28" s="369"/>
      <c r="C28" s="370" t="str">
        <f>Fixtures!B11</f>
        <v>Sun 17 Jun</v>
      </c>
      <c r="D28" s="371"/>
      <c r="E28" s="371"/>
      <c r="F28" s="372"/>
      <c r="G28" s="124"/>
      <c r="H28" s="373"/>
      <c r="I28" s="370" t="str">
        <f>Fixtures!B21</f>
        <v>Sun 19 Aug</v>
      </c>
      <c r="J28" s="374"/>
      <c r="K28" s="375"/>
      <c r="L28" s="390"/>
      <c r="M28" s="127"/>
      <c r="Q28" s="116"/>
      <c r="R28" s="116"/>
      <c r="S28" s="116"/>
      <c r="T28" s="116"/>
      <c r="U28" s="116"/>
      <c r="V28" s="146"/>
      <c r="W28" s="146"/>
      <c r="X28" s="146"/>
      <c r="Y28" s="146"/>
      <c r="Z28" s="146"/>
      <c r="AA28" s="146"/>
      <c r="AB28" s="146"/>
      <c r="AC28" s="116"/>
      <c r="AD28" s="116"/>
      <c r="AE28" s="116"/>
    </row>
    <row r="29" spans="2:31" ht="13.5" customHeight="1" x14ac:dyDescent="0.2">
      <c r="B29" s="373"/>
      <c r="C29" s="374" t="str">
        <f>Fixtures!C11</f>
        <v>North Enfield</v>
      </c>
      <c r="D29" s="374" t="s">
        <v>185</v>
      </c>
      <c r="E29" s="375" t="s">
        <v>188</v>
      </c>
      <c r="F29" s="382"/>
      <c r="G29" s="124"/>
      <c r="H29" s="373"/>
      <c r="I29" s="374" t="str">
        <f>Fixtures!C21</f>
        <v>Nevill Holt</v>
      </c>
      <c r="J29" s="374" t="s">
        <v>269</v>
      </c>
      <c r="K29" s="375" t="s">
        <v>222</v>
      </c>
      <c r="L29" s="390"/>
      <c r="M29" s="127"/>
      <c r="Q29" s="116"/>
      <c r="R29" s="116"/>
      <c r="S29" s="116"/>
      <c r="T29" s="116"/>
      <c r="U29" s="116"/>
      <c r="V29" s="146"/>
      <c r="W29" s="146"/>
      <c r="X29" s="146"/>
      <c r="Y29" s="146"/>
      <c r="Z29" s="146"/>
      <c r="AA29" s="146"/>
      <c r="AB29" s="146"/>
      <c r="AC29" s="116"/>
      <c r="AD29" s="116"/>
      <c r="AE29" s="116"/>
    </row>
    <row r="30" spans="2:31" ht="13.5" customHeight="1" x14ac:dyDescent="0.2">
      <c r="B30" s="373"/>
      <c r="C30" s="374"/>
      <c r="D30" s="374"/>
      <c r="E30" s="375"/>
      <c r="F30" s="382"/>
      <c r="G30" s="124"/>
      <c r="H30" s="373"/>
      <c r="I30" s="374"/>
      <c r="J30" s="374"/>
      <c r="K30" s="375"/>
      <c r="L30" s="390"/>
      <c r="M30" s="127"/>
      <c r="Q30" s="116"/>
      <c r="R30" s="116"/>
      <c r="S30" s="116"/>
      <c r="T30" s="116"/>
      <c r="U30" s="116"/>
      <c r="V30" s="146"/>
      <c r="W30" s="146"/>
      <c r="X30" s="146"/>
      <c r="Y30" s="146"/>
      <c r="Z30" s="146"/>
      <c r="AA30" s="146"/>
      <c r="AB30" s="146"/>
      <c r="AC30" s="116"/>
      <c r="AD30" s="116"/>
      <c r="AE30" s="116"/>
    </row>
    <row r="31" spans="2:31" ht="13.5" customHeight="1" x14ac:dyDescent="0.2">
      <c r="B31" s="369"/>
      <c r="C31" s="370" t="str">
        <f>Fixtures!B12</f>
        <v>Sun 24 Jun</v>
      </c>
      <c r="D31" s="371"/>
      <c r="E31" s="371"/>
      <c r="F31" s="372"/>
      <c r="G31" s="124"/>
      <c r="H31" s="373"/>
      <c r="I31" s="394" t="str">
        <f>Fixtures!B22</f>
        <v>Sun 26 Aug</v>
      </c>
      <c r="J31" s="374"/>
      <c r="K31" s="375"/>
      <c r="L31" s="390"/>
      <c r="M31" s="116"/>
      <c r="Q31" s="116"/>
      <c r="R31" s="116"/>
      <c r="S31" s="116"/>
      <c r="T31" s="116"/>
      <c r="U31" s="116"/>
      <c r="V31" s="146"/>
      <c r="W31" s="146"/>
      <c r="X31" s="146"/>
      <c r="Y31" s="146"/>
      <c r="Z31" s="146"/>
      <c r="AA31" s="146"/>
      <c r="AB31" s="146"/>
      <c r="AC31" s="116"/>
      <c r="AD31" s="116"/>
      <c r="AE31" s="116"/>
    </row>
    <row r="32" spans="2:31" ht="13.5" customHeight="1" x14ac:dyDescent="0.2">
      <c r="B32" s="373"/>
      <c r="C32" s="374" t="str">
        <f>Fixtures!C12</f>
        <v>Shepperton</v>
      </c>
      <c r="D32" s="374" t="s">
        <v>138</v>
      </c>
      <c r="E32" s="375" t="s">
        <v>193</v>
      </c>
      <c r="F32" s="382"/>
      <c r="G32" s="124"/>
      <c r="H32" s="373"/>
      <c r="I32" s="374" t="str">
        <f>Fixtures!C22</f>
        <v>Wembley</v>
      </c>
      <c r="J32" s="374"/>
      <c r="K32" s="375"/>
      <c r="L32" s="390"/>
      <c r="M32" s="116"/>
      <c r="Q32" s="116"/>
      <c r="R32" s="116"/>
      <c r="S32" s="116"/>
      <c r="T32" s="116"/>
      <c r="U32" s="116"/>
      <c r="V32" s="146"/>
      <c r="W32" s="146"/>
      <c r="X32" s="146"/>
      <c r="Y32" s="146"/>
      <c r="Z32" s="146"/>
      <c r="AA32" s="146"/>
      <c r="AB32" s="146"/>
      <c r="AC32" s="116"/>
      <c r="AD32" s="116"/>
      <c r="AE32" s="116"/>
    </row>
    <row r="33" spans="2:31" ht="13.5" customHeight="1" x14ac:dyDescent="0.2">
      <c r="B33" s="383"/>
      <c r="C33" s="384"/>
      <c r="D33" s="385"/>
      <c r="E33" s="385"/>
      <c r="F33" s="386"/>
      <c r="G33" s="124"/>
      <c r="H33" s="383"/>
      <c r="I33" s="384"/>
      <c r="J33" s="384"/>
      <c r="K33" s="421"/>
      <c r="L33" s="386"/>
      <c r="M33" s="116"/>
      <c r="Q33" s="116"/>
      <c r="R33" s="116"/>
      <c r="S33" s="116"/>
      <c r="T33" s="116"/>
      <c r="U33" s="116"/>
      <c r="V33" s="146"/>
      <c r="W33" s="146"/>
      <c r="X33" s="146"/>
      <c r="Y33" s="146"/>
      <c r="Z33" s="146"/>
      <c r="AA33" s="146"/>
      <c r="AB33" s="146"/>
      <c r="AC33" s="116"/>
      <c r="AD33" s="116"/>
      <c r="AE33" s="116"/>
    </row>
    <row r="34" spans="2:31" ht="12.6" customHeight="1" x14ac:dyDescent="0.2">
      <c r="B34" s="116"/>
      <c r="C34" s="116"/>
      <c r="D34" s="116"/>
      <c r="E34" s="116"/>
      <c r="F34" s="116"/>
      <c r="G34" s="124"/>
      <c r="H34" s="116"/>
      <c r="I34" s="116"/>
      <c r="J34" s="116"/>
      <c r="K34" s="116"/>
      <c r="L34" s="116"/>
      <c r="M34" s="116"/>
      <c r="Q34" s="146"/>
      <c r="R34" s="116"/>
      <c r="S34" s="116"/>
      <c r="T34" s="116"/>
      <c r="U34" s="116"/>
      <c r="V34" s="146"/>
      <c r="W34" s="146"/>
      <c r="X34" s="146"/>
      <c r="Y34" s="146"/>
      <c r="Z34" s="146"/>
      <c r="AA34" s="146"/>
      <c r="AB34" s="146"/>
      <c r="AC34" s="116"/>
      <c r="AD34" s="116"/>
      <c r="AE34" s="116"/>
    </row>
    <row r="35" spans="2:31" ht="12.6" customHeight="1" x14ac:dyDescent="0.2">
      <c r="G35" s="124"/>
      <c r="H35" s="116"/>
      <c r="I35" s="116"/>
      <c r="J35" s="116"/>
      <c r="K35" s="116"/>
      <c r="L35" s="116"/>
      <c r="M35" s="116"/>
      <c r="Q35" s="146"/>
      <c r="R35" s="116"/>
      <c r="S35" s="116"/>
      <c r="T35" s="116"/>
      <c r="U35" s="116"/>
      <c r="V35" s="146"/>
      <c r="W35" s="146"/>
      <c r="X35" s="146"/>
      <c r="Y35" s="146"/>
      <c r="Z35" s="146"/>
      <c r="AA35" s="146"/>
      <c r="AB35" s="146"/>
      <c r="AC35" s="116"/>
      <c r="AD35" s="116"/>
      <c r="AE35" s="116"/>
    </row>
    <row r="36" spans="2:31" ht="12.6" customHeight="1" x14ac:dyDescent="0.2">
      <c r="G36" s="124"/>
      <c r="H36" s="116"/>
      <c r="I36" s="116"/>
      <c r="J36" s="116"/>
      <c r="K36" s="116"/>
      <c r="L36" s="116"/>
      <c r="M36" s="116"/>
      <c r="Q36" s="146"/>
      <c r="R36" s="116"/>
      <c r="S36" s="116"/>
      <c r="T36" s="116"/>
      <c r="U36" s="116"/>
      <c r="V36" s="146"/>
      <c r="W36" s="146"/>
      <c r="X36" s="146"/>
      <c r="Y36" s="146"/>
      <c r="Z36" s="146"/>
      <c r="AA36" s="146"/>
      <c r="AB36" s="146"/>
      <c r="AC36" s="116"/>
      <c r="AD36" s="116"/>
      <c r="AE36" s="116"/>
    </row>
    <row r="37" spans="2:31" ht="12.6" customHeight="1" x14ac:dyDescent="0.2">
      <c r="G37" s="116"/>
      <c r="H37" s="116"/>
      <c r="I37" s="116"/>
      <c r="J37" s="116"/>
      <c r="K37" s="116"/>
      <c r="L37" s="116"/>
      <c r="M37" s="116"/>
      <c r="Q37" s="146"/>
      <c r="R37" s="116"/>
      <c r="S37" s="116"/>
      <c r="T37" s="116"/>
      <c r="U37" s="116"/>
      <c r="V37" s="146"/>
      <c r="W37" s="146"/>
      <c r="X37" s="146"/>
      <c r="Y37" s="146"/>
      <c r="Z37" s="146"/>
      <c r="AA37" s="146"/>
      <c r="AB37" s="146"/>
      <c r="AC37" s="116"/>
      <c r="AD37" s="116"/>
      <c r="AE37" s="116"/>
    </row>
    <row r="38" spans="2:31" ht="12.6" customHeight="1" x14ac:dyDescent="0.2">
      <c r="G38" s="116"/>
      <c r="H38" s="146"/>
      <c r="I38" s="146"/>
      <c r="J38" s="146"/>
      <c r="K38" s="146"/>
      <c r="L38" s="146"/>
      <c r="M38" s="116"/>
      <c r="Q38" s="146"/>
      <c r="R38" s="116"/>
      <c r="S38" s="116"/>
      <c r="T38" s="116"/>
      <c r="U38" s="116"/>
      <c r="V38" s="146"/>
      <c r="W38" s="146"/>
      <c r="X38" s="146"/>
      <c r="Y38" s="146"/>
      <c r="Z38" s="146"/>
      <c r="AA38" s="146"/>
      <c r="AB38" s="146"/>
      <c r="AC38" s="116"/>
      <c r="AD38" s="116"/>
      <c r="AE38" s="116"/>
    </row>
    <row r="39" spans="2:31" ht="12.6" customHeight="1" x14ac:dyDescent="0.2">
      <c r="G39" s="125"/>
      <c r="H39" s="146"/>
      <c r="I39" s="146"/>
      <c r="J39" s="146"/>
      <c r="K39" s="146"/>
      <c r="L39" s="146"/>
      <c r="M39" s="116"/>
      <c r="Q39" s="14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</row>
    <row r="40" spans="2:31" ht="12.6" customHeight="1" x14ac:dyDescent="0.2">
      <c r="G40" s="125"/>
      <c r="H40" s="146"/>
      <c r="I40" s="146"/>
      <c r="J40" s="146"/>
      <c r="K40" s="146"/>
      <c r="L40" s="146"/>
      <c r="M40" s="116"/>
      <c r="Q40" s="14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</row>
    <row r="41" spans="2:31" ht="12.6" customHeight="1" x14ac:dyDescent="0.2">
      <c r="G41" s="125"/>
      <c r="H41" s="146"/>
      <c r="I41" s="146"/>
      <c r="J41" s="146"/>
      <c r="K41" s="146"/>
      <c r="L41" s="146"/>
      <c r="M41" s="116"/>
      <c r="Q41" s="146"/>
      <c r="R41" s="360"/>
      <c r="S41" s="360"/>
      <c r="T41" s="360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</row>
    <row r="42" spans="2:31" ht="12.6" customHeight="1" x14ac:dyDescent="0.2">
      <c r="G42" s="116"/>
      <c r="H42" s="146"/>
      <c r="I42" s="146"/>
      <c r="J42" s="146"/>
      <c r="K42" s="146"/>
      <c r="L42" s="146"/>
      <c r="M42" s="116"/>
      <c r="Q42" s="146"/>
      <c r="R42" s="361"/>
      <c r="S42" s="361"/>
      <c r="T42" s="116"/>
      <c r="U42" s="14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</row>
    <row r="43" spans="2:31" ht="12.6" customHeight="1" x14ac:dyDescent="0.2">
      <c r="G43" s="116"/>
      <c r="M43" s="116"/>
      <c r="Q43" s="116"/>
      <c r="R43" s="361"/>
      <c r="S43" s="361"/>
      <c r="T43" s="116"/>
      <c r="U43" s="14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</row>
    <row r="44" spans="2:31" ht="12.6" customHeight="1" x14ac:dyDescent="0.2">
      <c r="G44" s="116"/>
      <c r="M44" s="146"/>
      <c r="R44" s="361"/>
      <c r="S44" s="361"/>
      <c r="T44" s="116"/>
      <c r="U44" s="14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</row>
    <row r="45" spans="2:31" ht="12.6" customHeight="1" x14ac:dyDescent="0.2">
      <c r="G45" s="116"/>
      <c r="M45" s="146"/>
      <c r="R45" s="361"/>
      <c r="S45" s="361"/>
      <c r="T45" s="116"/>
      <c r="U45" s="146"/>
      <c r="V45" s="116"/>
      <c r="W45" s="116"/>
      <c r="X45" s="116"/>
      <c r="Y45" s="116"/>
      <c r="Z45" s="116"/>
      <c r="AA45" s="116"/>
      <c r="AB45" s="116"/>
      <c r="AC45" s="116"/>
      <c r="AD45" s="116"/>
      <c r="AE45" s="116"/>
    </row>
    <row r="46" spans="2:31" ht="12.6" customHeight="1" x14ac:dyDescent="0.2">
      <c r="G46" s="116"/>
      <c r="M46" s="14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  <c r="AC46" s="116"/>
      <c r="AD46" s="116"/>
      <c r="AE46" s="116"/>
    </row>
    <row r="47" spans="2:31" ht="12.6" customHeight="1" x14ac:dyDescent="0.2">
      <c r="G47" s="116"/>
      <c r="M47" s="146"/>
      <c r="R47" s="116"/>
      <c r="S47" s="116"/>
      <c r="T47" s="116"/>
      <c r="U47" s="116"/>
      <c r="V47" s="116"/>
      <c r="W47" s="116"/>
      <c r="X47" s="116"/>
      <c r="Y47" s="116"/>
      <c r="Z47" s="116"/>
      <c r="AA47" s="116"/>
      <c r="AB47" s="116"/>
      <c r="AC47" s="116"/>
      <c r="AD47" s="116"/>
      <c r="AE47" s="116"/>
    </row>
    <row r="48" spans="2:31" ht="12.6" customHeight="1" x14ac:dyDescent="0.2">
      <c r="G48" s="116"/>
      <c r="M48" s="146"/>
    </row>
    <row r="49" spans="7:7" ht="12.6" customHeight="1" x14ac:dyDescent="0.2">
      <c r="G49" s="116"/>
    </row>
    <row r="50" spans="7:7" ht="12.6" customHeight="1" x14ac:dyDescent="0.2">
      <c r="G50" s="116"/>
    </row>
    <row r="51" spans="7:7" ht="12.6" customHeight="1" x14ac:dyDescent="0.2">
      <c r="G51" s="116"/>
    </row>
    <row r="52" spans="7:7" ht="12.6" customHeight="1" x14ac:dyDescent="0.2">
      <c r="G52" s="116"/>
    </row>
    <row r="53" spans="7:7" ht="12.6" customHeight="1" x14ac:dyDescent="0.2">
      <c r="G53" s="116"/>
    </row>
    <row r="54" spans="7:7" ht="12.6" customHeight="1" x14ac:dyDescent="0.2">
      <c r="G54" s="146"/>
    </row>
    <row r="55" spans="7:7" ht="12.6" customHeight="1" x14ac:dyDescent="0.2">
      <c r="G55" s="125"/>
    </row>
    <row r="56" spans="7:7" ht="12.6" customHeight="1" x14ac:dyDescent="0.2">
      <c r="G56" s="125"/>
    </row>
    <row r="57" spans="7:7" ht="12.6" customHeight="1" x14ac:dyDescent="0.2">
      <c r="G57" s="125"/>
    </row>
    <row r="58" spans="7:7" ht="12.6" customHeight="1" x14ac:dyDescent="0.2">
      <c r="G58" s="125"/>
    </row>
    <row r="59" spans="7:7" ht="12.6" customHeight="1" x14ac:dyDescent="0.2">
      <c r="G59" s="125"/>
    </row>
    <row r="60" spans="7:7" ht="12.6" customHeight="1" x14ac:dyDescent="0.2">
      <c r="G60" s="125"/>
    </row>
    <row r="61" spans="7:7" ht="12.6" customHeight="1" x14ac:dyDescent="0.2">
      <c r="G61" s="125"/>
    </row>
    <row r="62" spans="7:7" ht="12.6" customHeight="1" x14ac:dyDescent="0.2">
      <c r="G62" s="125"/>
    </row>
    <row r="63" spans="7:7" ht="12.6" customHeight="1" x14ac:dyDescent="0.2">
      <c r="G63" s="125"/>
    </row>
    <row r="64" spans="7:7" ht="12.6" customHeight="1" x14ac:dyDescent="0.2">
      <c r="G64" s="125"/>
    </row>
    <row r="65" spans="7:7" ht="12.6" customHeight="1" x14ac:dyDescent="0.2">
      <c r="G65" s="125"/>
    </row>
    <row r="66" spans="7:7" ht="12.6" customHeight="1" x14ac:dyDescent="0.2">
      <c r="G66" s="125"/>
    </row>
    <row r="67" spans="7:7" ht="12.6" customHeight="1" x14ac:dyDescent="0.2">
      <c r="G67" s="125"/>
    </row>
    <row r="68" spans="7:7" ht="12.6" customHeight="1" x14ac:dyDescent="0.2">
      <c r="G68" s="125"/>
    </row>
  </sheetData>
  <sortState xmlns:xlrd2="http://schemas.microsoft.com/office/spreadsheetml/2017/richdata2" ref="N4:P13">
    <sortCondition descending="1" ref="P4:P13"/>
    <sortCondition ref="N4:N13"/>
  </sortState>
  <pageMargins left="0.75" right="0.75" top="1" bottom="1" header="0.5" footer="0.5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BC228"/>
  <sheetViews>
    <sheetView workbookViewId="0">
      <pane xSplit="16" ySplit="3" topLeftCell="Q4" activePane="bottomRight" state="frozen"/>
      <selection pane="topRight" activeCell="M1" sqref="M1"/>
      <selection pane="bottomLeft" activeCell="A4" sqref="A4"/>
      <selection pane="bottomRight" activeCell="A77" sqref="A77"/>
    </sheetView>
  </sheetViews>
  <sheetFormatPr defaultColWidth="9.140625" defaultRowHeight="12.75" x14ac:dyDescent="0.2"/>
  <cols>
    <col min="1" max="1" width="1.85546875" style="125" customWidth="1"/>
    <col min="2" max="2" width="2.42578125" style="125" customWidth="1"/>
    <col min="3" max="3" width="23.5703125" style="125" customWidth="1"/>
    <col min="4" max="4" width="5.28515625" style="125" customWidth="1"/>
    <col min="5" max="5" width="4.28515625" style="125" customWidth="1"/>
    <col min="6" max="6" width="3.7109375" style="125" customWidth="1"/>
    <col min="7" max="7" width="5.28515625" style="125" bestFit="1" customWidth="1"/>
    <col min="8" max="8" width="3.7109375" style="125" customWidth="1"/>
    <col min="9" max="9" width="4.28515625" style="125" customWidth="1"/>
    <col min="10" max="10" width="3.7109375" style="125" customWidth="1"/>
    <col min="11" max="11" width="4.28515625" style="125" customWidth="1"/>
    <col min="12" max="12" width="1" style="125" customWidth="1"/>
    <col min="13" max="14" width="6.7109375" style="125" customWidth="1"/>
    <col min="15" max="15" width="3.140625" style="125" customWidth="1"/>
    <col min="16" max="16" width="0.42578125" style="125" customWidth="1"/>
    <col min="17" max="17" width="23.5703125" style="125" customWidth="1"/>
    <col min="18" max="18" width="6.140625" style="125" bestFit="1" customWidth="1"/>
    <col min="19" max="21" width="4.28515625" style="125" customWidth="1"/>
    <col min="22" max="22" width="5" style="125" bestFit="1" customWidth="1"/>
    <col min="23" max="23" width="3.5703125" style="125" customWidth="1"/>
    <col min="24" max="24" width="1.140625" style="125" customWidth="1"/>
    <col min="25" max="25" width="5.42578125" style="125" bestFit="1" customWidth="1"/>
    <col min="26" max="26" width="1.140625" style="125" customWidth="1"/>
    <col min="27" max="27" width="1" style="125" customWidth="1"/>
    <col min="28" max="28" width="6.42578125" style="125" customWidth="1"/>
    <col min="29" max="29" width="3.140625" style="125" customWidth="1"/>
    <col min="30" max="30" width="23.5703125" style="125" customWidth="1"/>
    <col min="31" max="31" width="6.140625" style="125" bestFit="1" customWidth="1"/>
    <col min="32" max="33" width="4.28515625" style="125" customWidth="1"/>
    <col min="34" max="34" width="4.85546875" style="125" bestFit="1" customWidth="1"/>
    <col min="35" max="37" width="4.28515625" style="125" customWidth="1"/>
    <col min="38" max="38" width="5.28515625" style="125" customWidth="1"/>
    <col min="39" max="39" width="4.28515625" style="125" customWidth="1"/>
    <col min="40" max="40" width="4.7109375" style="125" customWidth="1"/>
    <col min="41" max="41" width="1" style="125" customWidth="1"/>
    <col min="42" max="45" width="3.5703125" style="125" customWidth="1"/>
    <col min="46" max="46" width="1" style="125" customWidth="1"/>
    <col min="47" max="47" width="7" style="125" customWidth="1"/>
    <col min="48" max="48" width="3.140625" style="125" customWidth="1"/>
    <col min="49" max="49" width="23.5703125" style="125" customWidth="1"/>
    <col min="50" max="50" width="5.28515625" style="125" customWidth="1"/>
    <col min="51" max="53" width="3" style="125" customWidth="1"/>
    <col min="54" max="54" width="1" style="125" customWidth="1"/>
    <col min="55" max="55" width="6.42578125" style="125" customWidth="1"/>
    <col min="56" max="16384" width="9.140625" style="125"/>
  </cols>
  <sheetData>
    <row r="2" spans="1:55" ht="13.5" customHeight="1" x14ac:dyDescent="0.2">
      <c r="A2" s="116"/>
      <c r="B2" s="116"/>
      <c r="C2" s="116"/>
      <c r="D2" s="116"/>
      <c r="E2" s="116"/>
      <c r="F2" s="486" t="s">
        <v>14</v>
      </c>
      <c r="G2" s="487"/>
      <c r="H2" s="486" t="s">
        <v>15</v>
      </c>
      <c r="I2" s="487"/>
      <c r="J2" s="486" t="s">
        <v>175</v>
      </c>
      <c r="K2" s="487"/>
      <c r="L2" s="117"/>
      <c r="M2" s="168" t="s">
        <v>109</v>
      </c>
      <c r="N2" s="168" t="s">
        <v>214</v>
      </c>
      <c r="O2" s="118"/>
      <c r="P2" s="116"/>
      <c r="Q2" s="119"/>
      <c r="R2" s="120"/>
      <c r="S2" s="120"/>
      <c r="T2" s="121"/>
      <c r="U2" s="121"/>
      <c r="V2" s="121"/>
      <c r="W2" s="119"/>
      <c r="X2" s="119"/>
      <c r="Y2" s="121"/>
      <c r="Z2" s="121"/>
      <c r="AA2" s="121"/>
      <c r="AB2" s="179" t="s">
        <v>17</v>
      </c>
      <c r="AC2" s="118"/>
      <c r="AD2" s="122"/>
      <c r="AE2" s="122"/>
      <c r="AF2" s="122"/>
      <c r="AG2" s="122"/>
      <c r="AH2" s="123"/>
      <c r="AI2" s="123"/>
      <c r="AJ2" s="123"/>
      <c r="AK2" s="123"/>
      <c r="AL2" s="187" t="s">
        <v>58</v>
      </c>
      <c r="AM2" s="187" t="s">
        <v>59</v>
      </c>
      <c r="AN2" s="187" t="s">
        <v>60</v>
      </c>
      <c r="AO2" s="123"/>
      <c r="AP2" s="184" t="s">
        <v>61</v>
      </c>
      <c r="AQ2" s="185"/>
      <c r="AR2" s="185"/>
      <c r="AS2" s="186"/>
      <c r="AT2" s="124"/>
      <c r="AU2" s="179" t="s">
        <v>17</v>
      </c>
      <c r="AW2" s="122"/>
      <c r="AX2" s="122"/>
      <c r="AY2" s="122"/>
      <c r="AZ2" s="122"/>
      <c r="BA2" s="122"/>
      <c r="BB2" s="122"/>
      <c r="BC2" s="179" t="s">
        <v>17</v>
      </c>
    </row>
    <row r="3" spans="1:55" ht="13.5" customHeight="1" x14ac:dyDescent="0.2">
      <c r="A3" s="126"/>
      <c r="B3" s="483" t="s">
        <v>135</v>
      </c>
      <c r="C3" s="484"/>
      <c r="D3" s="485"/>
      <c r="E3" s="166" t="s">
        <v>22</v>
      </c>
      <c r="F3" s="488" t="s">
        <v>176</v>
      </c>
      <c r="G3" s="489"/>
      <c r="H3" s="488" t="s">
        <v>177</v>
      </c>
      <c r="I3" s="489"/>
      <c r="J3" s="488" t="s">
        <v>178</v>
      </c>
      <c r="K3" s="489"/>
      <c r="L3" s="117"/>
      <c r="M3" s="169" t="s">
        <v>110</v>
      </c>
      <c r="N3" s="169" t="s">
        <v>110</v>
      </c>
      <c r="O3" s="118"/>
      <c r="P3" s="127"/>
      <c r="Q3" s="181" t="s">
        <v>21</v>
      </c>
      <c r="R3" s="190"/>
      <c r="S3" s="189" t="s">
        <v>22</v>
      </c>
      <c r="T3" s="187" t="s">
        <v>23</v>
      </c>
      <c r="U3" s="187" t="s">
        <v>24</v>
      </c>
      <c r="V3" s="187" t="s">
        <v>106</v>
      </c>
      <c r="W3" s="191" t="s">
        <v>26</v>
      </c>
      <c r="X3" s="192"/>
      <c r="Y3" s="191" t="s">
        <v>27</v>
      </c>
      <c r="Z3" s="192"/>
      <c r="AA3" s="121"/>
      <c r="AB3" s="180" t="s">
        <v>28</v>
      </c>
      <c r="AC3" s="118"/>
      <c r="AD3" s="188" t="s">
        <v>63</v>
      </c>
      <c r="AE3" s="189"/>
      <c r="AF3" s="189" t="s">
        <v>22</v>
      </c>
      <c r="AG3" s="189" t="s">
        <v>23</v>
      </c>
      <c r="AH3" s="187" t="s">
        <v>64</v>
      </c>
      <c r="AI3" s="187" t="s">
        <v>65</v>
      </c>
      <c r="AJ3" s="187" t="s">
        <v>106</v>
      </c>
      <c r="AK3" s="187" t="s">
        <v>66</v>
      </c>
      <c r="AL3" s="187" t="s">
        <v>67</v>
      </c>
      <c r="AM3" s="187" t="s">
        <v>68</v>
      </c>
      <c r="AN3" s="187" t="s">
        <v>27</v>
      </c>
      <c r="AO3" s="128"/>
      <c r="AP3" s="187" t="s">
        <v>64</v>
      </c>
      <c r="AQ3" s="187" t="s">
        <v>65</v>
      </c>
      <c r="AR3" s="187" t="s">
        <v>69</v>
      </c>
      <c r="AS3" s="187" t="s">
        <v>66</v>
      </c>
      <c r="AT3" s="124"/>
      <c r="AU3" s="180" t="s">
        <v>28</v>
      </c>
      <c r="AW3" s="181" t="s">
        <v>93</v>
      </c>
      <c r="AX3" s="182"/>
      <c r="AY3" s="183" t="s">
        <v>94</v>
      </c>
      <c r="AZ3" s="183" t="s">
        <v>95</v>
      </c>
      <c r="BA3" s="183" t="s">
        <v>96</v>
      </c>
      <c r="BB3" s="129"/>
      <c r="BC3" s="180" t="s">
        <v>28</v>
      </c>
    </row>
    <row r="4" spans="1:55" ht="13.5" customHeight="1" x14ac:dyDescent="0.2">
      <c r="A4" s="119"/>
      <c r="B4" s="157">
        <v>1</v>
      </c>
      <c r="C4" s="158" t="s">
        <v>31</v>
      </c>
      <c r="D4" s="159" t="s">
        <v>191</v>
      </c>
      <c r="E4" s="160">
        <f t="shared" ref="E4" si="0">S4</f>
        <v>14</v>
      </c>
      <c r="F4" s="161">
        <f t="shared" ref="F4" si="1">IF(AB4="","", AB4)</f>
        <v>621</v>
      </c>
      <c r="G4" s="162">
        <f t="shared" ref="G4" si="2">IF(V4=0,"", V4)</f>
        <v>698</v>
      </c>
      <c r="H4" s="161">
        <f t="shared" ref="H4" si="3">IF(AU4="","", AU4)</f>
        <v>16.8</v>
      </c>
      <c r="I4" s="162">
        <f t="shared" ref="I4" si="4">IF(AK4=0,"",AK4)</f>
        <v>1</v>
      </c>
      <c r="J4" s="161">
        <f t="shared" ref="J4" si="5">IF(BC4="","", BC4)</f>
        <v>8</v>
      </c>
      <c r="K4" s="162">
        <f t="shared" ref="K4" si="6">IF(SUM(AY4:BA4)=0,"", SUM(AY4:BA4))</f>
        <v>1</v>
      </c>
      <c r="L4" s="117"/>
      <c r="M4" s="163">
        <f t="shared" ref="M4" si="7">(IF(AND(F4="",H4="",G4=""),"n/a",SUM(F4:F4)+SUM(H4:H4)+SUM(J4:J4)))</f>
        <v>645.79999999999995</v>
      </c>
      <c r="N4" s="164">
        <f>M4/E4</f>
        <v>46.128571428571426</v>
      </c>
      <c r="P4" s="124"/>
      <c r="Q4" s="158" t="str">
        <f t="shared" ref="Q4" si="8">+C4</f>
        <v>HOAR, Carl</v>
      </c>
      <c r="R4" s="159" t="str">
        <f t="shared" ref="R4" si="9">D4</f>
        <v>(ENG)</v>
      </c>
      <c r="S4" s="170">
        <f>IF(ISNA(VLOOKUP($Q4,Batting!$B$5:$M$103,3,FALSE)),0,(VLOOKUP($Q4,Batting!$B$5:$M$103,3,FALSE)))</f>
        <v>14</v>
      </c>
      <c r="T4" s="171">
        <f>IF(ISNA(VLOOKUP($Q4,Batting!$B$5:$M$103,4,FALSE)),0,(VLOOKUP($Q4,Batting!$B$5:$M$103,4,FALSE)))</f>
        <v>14</v>
      </c>
      <c r="U4" s="171">
        <f>IF(ISNA(VLOOKUP($Q4,Batting!$B$5:$M$103,5,FALSE)),0,(VLOOKUP($Q4,Batting!$B$5:$M$103,5,FALSE)))</f>
        <v>3</v>
      </c>
      <c r="V4" s="171">
        <f>IF(ISNA(VLOOKUP($Q4,Batting!$B$5:$M$103,6,FALSE)),0,(VLOOKUP($Q4,Batting!$B$5:$M$103,6,FALSE)))</f>
        <v>698</v>
      </c>
      <c r="W4" s="172">
        <f>IF(ISNA(VLOOKUP($Q4,Batting!$B$5:$M$103,7,FALSE)),0,(VLOOKUP($Q4,Batting!$B$5:$M$103,7,FALSE)))</f>
        <v>132</v>
      </c>
      <c r="X4" s="171">
        <f>IF(ISNA(VLOOKUP($Q4,Batting!$B$5:$M$103,8,FALSE)),0,(VLOOKUP($Q4,Batting!$B$5:$M$103,8,FALSE)))</f>
        <v>0</v>
      </c>
      <c r="Y4" s="173">
        <f>IF(ISNA(VLOOKUP($Q4,Batting!$B$5:$M$103,9,FALSE)),0,(VLOOKUP($Q4,Batting!$B$5:$M$103,9,FALSE)))</f>
        <v>63.454545454545453</v>
      </c>
      <c r="Z4" s="193" t="str">
        <f>IF(ISNA(VLOOKUP($Q4,Batting!$B$5:$M$103,10,FALSE)),"",(VLOOKUP($Q4,Batting!$B$5:$M$103,10,FALSE)))</f>
        <v/>
      </c>
      <c r="AA4" s="121"/>
      <c r="AB4" s="174">
        <f>IF(ISNA(VLOOKUP($Q4,Batting!$B$5:$M$103,12,FALSE)),0,(VLOOKUP($Q4,Batting!$B$5:$M$103,12,FALSE)))</f>
        <v>621</v>
      </c>
      <c r="AD4" s="158" t="str">
        <f t="shared" ref="AD4" si="10">+Q4</f>
        <v>HOAR, Carl</v>
      </c>
      <c r="AE4" s="159" t="str">
        <f t="shared" ref="AE4" si="11">R4</f>
        <v>(ENG)</v>
      </c>
      <c r="AF4" s="170">
        <f>IF(ISNA(VLOOKUP($AD4,Bowling!$B$4:$S$36,3,FALSE)),0,(VLOOKUP($AD4,Bowling!$B$4:$S$36,3,FALSE)))</f>
        <v>14</v>
      </c>
      <c r="AG4" s="171">
        <f>IF(ISNA(VLOOKUP($AD4,Bowling!$B$4:$S$36,4,FALSE)),0,(VLOOKUP($AD4,Bowling!$B$4:$S$36,4,FALSE)))</f>
        <v>1</v>
      </c>
      <c r="AH4" s="175">
        <f>IF(ISNA(VLOOKUP($AD4,Bowling!$B$4:$S$36,5,FALSE)),0,(VLOOKUP($AD4,Bowling!$B$4:$S$36,5,FALSE)))</f>
        <v>3</v>
      </c>
      <c r="AI4" s="176">
        <f>IF(ISNA(VLOOKUP($AD4,Bowling!$B$4:$S$36,6,FALSE)),0,(VLOOKUP($AD4,Bowling!$B$4:$S$36,6,FALSE)))</f>
        <v>0</v>
      </c>
      <c r="AJ4" s="176">
        <f>IF(ISNA(VLOOKUP($AD4,Bowling!$B$4:$S$36,7,FALSE)),0,(VLOOKUP($AD4,Bowling!$B$4:$S$36,7,FALSE)))</f>
        <v>16</v>
      </c>
      <c r="AK4" s="176">
        <f>IF(ISNA(VLOOKUP($AD4,Bowling!$B$4:$S$36,8,FALSE)),0,(VLOOKUP($AD4,Bowling!$B$4:$S$36,8,FALSE)))</f>
        <v>1</v>
      </c>
      <c r="AL4" s="175">
        <f>IF(ISNA(VLOOKUP($AD4,Bowling!$B$4:$S$36,9,FALSE)),0,(VLOOKUP($AD4,Bowling!$B$4:$S$36,9,FALSE)))</f>
        <v>3</v>
      </c>
      <c r="AM4" s="175">
        <f>IF(ISNA(VLOOKUP($AD4,Bowling!$B$4:$S$36,10,FALSE)),0,(VLOOKUP($AD4,Bowling!$B$4:$S$36,10,FALSE)))</f>
        <v>5.333333333333333</v>
      </c>
      <c r="AN4" s="175">
        <f>IF(ISNA(VLOOKUP($AD4,Bowling!$B$4:$S$36,11,FALSE)),0,(VLOOKUP($AD4,Bowling!$B$4:$S$36,11,FALSE)))</f>
        <v>16</v>
      </c>
      <c r="AO4" s="134"/>
      <c r="AP4" s="170">
        <f>IF(ISNA(VLOOKUP($AD4,Bowling!$B$4:$S$36,13,FALSE)),0,(VLOOKUP($AD4,Bowling!$B$4:$S$36,13,FALSE)))</f>
        <v>0</v>
      </c>
      <c r="AQ4" s="170">
        <f>IF(ISNA(VLOOKUP($AD4,Bowling!$B$4:$S$36,14,FALSE)),0,(VLOOKUP($AD4,Bowling!$B$4:$S$36,14,FALSE)))</f>
        <v>0</v>
      </c>
      <c r="AR4" s="170">
        <f>IF(ISNA(VLOOKUP($AD4,Bowling!$B$4:$S$36,15,FALSE)),0,(VLOOKUP($AD4,Bowling!$B$4:$S$36,15,FALSE)))</f>
        <v>0</v>
      </c>
      <c r="AS4" s="170">
        <f>IF(ISNA(VLOOKUP($AD4,Bowling!$B$4:$S$36,16,FALSE)),0,(VLOOKUP($AD4,Bowling!$B$4:$S$36,16,FALSE)))</f>
        <v>0</v>
      </c>
      <c r="AT4" s="124"/>
      <c r="AU4" s="177">
        <f>IF(ISNA(VLOOKUP($AD4,Bowling!$B$4:$S$36,18,FALSE)),0,(VLOOKUP($AD4,Bowling!$B$4:$S$36,18,FALSE)))</f>
        <v>16.8</v>
      </c>
      <c r="AW4" s="158" t="str">
        <f t="shared" ref="AW4" si="12">+C4</f>
        <v>HOAR, Carl</v>
      </c>
      <c r="AX4" s="159" t="str">
        <f t="shared" ref="AX4" si="13">D4</f>
        <v>(ENG)</v>
      </c>
      <c r="AY4" s="170">
        <f>IF(ISNA(VLOOKUP($AW4,Fielding!$B$5:$H$79,3,FALSE)),0,(VLOOKUP($AW4,Fielding!$B$5:$H$79,3,FALSE)))</f>
        <v>1</v>
      </c>
      <c r="AZ4" s="170" t="str">
        <f>IF(ISNA(VLOOKUP($AW4,Fielding!$B$5:$H$79,4,FALSE)),0,(VLOOKUP($AW4,Fielding!$B$5:$H$79,4,FALSE)))</f>
        <v>0</v>
      </c>
      <c r="BA4" s="170" t="str">
        <f>IF(ISNA(VLOOKUP($AW4,Fielding!$B$5:$H$79,5,FALSE)),0,(VLOOKUP($AW4,Fielding!$B$5:$H$79,5,FALSE)))</f>
        <v>0</v>
      </c>
      <c r="BC4" s="178">
        <f>IF(ISNA(VLOOKUP($AW4,Fielding!$B$5:$H$79,7,FALSE)),0,(VLOOKUP($AW4,Fielding!$B$5:$H$79,7,FALSE)))</f>
        <v>8</v>
      </c>
    </row>
    <row r="5" spans="1:55" ht="13.5" customHeight="1" x14ac:dyDescent="0.2">
      <c r="A5" s="119"/>
      <c r="B5" s="157">
        <f t="shared" ref="B5:B35" si="14">B4+1</f>
        <v>2</v>
      </c>
      <c r="C5" s="158" t="s">
        <v>167</v>
      </c>
      <c r="D5" s="159" t="s">
        <v>189</v>
      </c>
      <c r="E5" s="160">
        <f t="shared" ref="E5:E35" si="15">S5</f>
        <v>11</v>
      </c>
      <c r="F5" s="161">
        <f t="shared" ref="F5:F35" si="16">IF(AB5="","", AB5)</f>
        <v>362</v>
      </c>
      <c r="G5" s="162">
        <f t="shared" ref="G5:G35" si="17">IF(V5=0,"", V5)</f>
        <v>425</v>
      </c>
      <c r="H5" s="161">
        <f t="shared" ref="H5:H35" si="18">IF(AU5="","", AU5)</f>
        <v>205.2</v>
      </c>
      <c r="I5" s="162">
        <f t="shared" ref="I5:I35" si="19">IF(AK5=0,"",AK5)</f>
        <v>14</v>
      </c>
      <c r="J5" s="161">
        <f t="shared" ref="J5:J35" si="20">IF(BC5="","", BC5)</f>
        <v>40</v>
      </c>
      <c r="K5" s="162">
        <f t="shared" ref="K5:K35" si="21">IF(SUM(AY5:BA5)=0,"", SUM(AY5:BA5))</f>
        <v>5</v>
      </c>
      <c r="L5" s="117"/>
      <c r="M5" s="163">
        <f t="shared" ref="M5:M35" si="22">(IF(AND(F5="",H5="",G5=""),"n/a",SUM(F5:F5)+SUM(H5:H5)+SUM(J5:J5)))</f>
        <v>607.20000000000005</v>
      </c>
      <c r="N5" s="164">
        <f>M5/E5</f>
        <v>55.2</v>
      </c>
      <c r="P5" s="127"/>
      <c r="Q5" s="158" t="str">
        <f t="shared" ref="Q5:Q35" si="23">+C5</f>
        <v>STYLES, Ryan</v>
      </c>
      <c r="R5" s="159" t="str">
        <f t="shared" ref="R5:R35" si="24">D5</f>
        <v>(AUS)</v>
      </c>
      <c r="S5" s="170">
        <f>IF(ISNA(VLOOKUP($Q5,Batting!$B$5:$M$103,3,FALSE)),0,(VLOOKUP($Q5,Batting!$B$5:$M$103,3,FALSE)))</f>
        <v>11</v>
      </c>
      <c r="T5" s="171">
        <f>IF(ISNA(VLOOKUP($Q5,Batting!$B$5:$M$103,4,FALSE)),0,(VLOOKUP($Q5,Batting!$B$5:$M$103,4,FALSE)))</f>
        <v>10</v>
      </c>
      <c r="U5" s="171">
        <f>IF(ISNA(VLOOKUP($Q5,Batting!$B$5:$M$103,5,FALSE)),0,(VLOOKUP($Q5,Batting!$B$5:$M$103,5,FALSE)))</f>
        <v>1</v>
      </c>
      <c r="V5" s="171">
        <f>IF(ISNA(VLOOKUP($Q5,Batting!$B$5:$M$103,6,FALSE)),0,(VLOOKUP($Q5,Batting!$B$5:$M$103,6,FALSE)))</f>
        <v>425</v>
      </c>
      <c r="W5" s="172">
        <f>IF(ISNA(VLOOKUP($Q5,Batting!$B$5:$M$103,7,FALSE)),0,(VLOOKUP($Q5,Batting!$B$5:$M$103,7,FALSE)))</f>
        <v>85</v>
      </c>
      <c r="X5" s="171">
        <f>IF(ISNA(VLOOKUP($Q5,Batting!$B$5:$M$103,8,FALSE)),0,(VLOOKUP($Q5,Batting!$B$5:$M$103,8,FALSE)))</f>
        <v>0</v>
      </c>
      <c r="Y5" s="173">
        <f>IF(ISNA(VLOOKUP($Q5,Batting!$B$5:$M$103,9,FALSE)),0,(VLOOKUP($Q5,Batting!$B$5:$M$103,9,FALSE)))</f>
        <v>47.222222222222221</v>
      </c>
      <c r="Z5" s="194" t="str">
        <f>IF(ISNA(VLOOKUP($Q5,Batting!$B$5:$M$103,10,FALSE)),"",(VLOOKUP($Q5,Batting!$B$5:$M$103,10,FALSE)))</f>
        <v/>
      </c>
      <c r="AA5" s="121"/>
      <c r="AB5" s="174">
        <f>IF(ISNA(VLOOKUP($Q5,Batting!$B$5:$M$103,12,FALSE)),0,(VLOOKUP($Q5,Batting!$B$5:$M$103,12,FALSE)))</f>
        <v>362</v>
      </c>
      <c r="AD5" s="158" t="str">
        <f t="shared" ref="AD5:AD35" si="25">+Q5</f>
        <v>STYLES, Ryan</v>
      </c>
      <c r="AE5" s="159" t="str">
        <f t="shared" ref="AE5:AE35" si="26">R5</f>
        <v>(AUS)</v>
      </c>
      <c r="AF5" s="170">
        <f>IF(ISNA(VLOOKUP($AD5,Bowling!$B$4:$S$36,3,FALSE)),0,(VLOOKUP($AD5,Bowling!$B$4:$S$36,3,FALSE)))</f>
        <v>11</v>
      </c>
      <c r="AG5" s="171">
        <f>IF(ISNA(VLOOKUP($AD5,Bowling!$B$4:$S$36,4,FALSE)),0,(VLOOKUP($AD5,Bowling!$B$4:$S$36,4,FALSE)))</f>
        <v>11</v>
      </c>
      <c r="AH5" s="175">
        <f>IF(ISNA(VLOOKUP($AD5,Bowling!$B$4:$S$36,5,FALSE)),0,(VLOOKUP($AD5,Bowling!$B$4:$S$36,5,FALSE)))</f>
        <v>67</v>
      </c>
      <c r="AI5" s="176">
        <f>IF(ISNA(VLOOKUP($AD5,Bowling!$B$4:$S$36,6,FALSE)),0,(VLOOKUP($AD5,Bowling!$B$4:$S$36,6,FALSE)))</f>
        <v>6</v>
      </c>
      <c r="AJ5" s="176">
        <f>IF(ISNA(VLOOKUP($AD5,Bowling!$B$4:$S$36,7,FALSE)),0,(VLOOKUP($AD5,Bowling!$B$4:$S$36,7,FALSE)))</f>
        <v>374</v>
      </c>
      <c r="AK5" s="176">
        <f>IF(ISNA(VLOOKUP($AD5,Bowling!$B$4:$S$36,8,FALSE)),0,(VLOOKUP($AD5,Bowling!$B$4:$S$36,8,FALSE)))</f>
        <v>14</v>
      </c>
      <c r="AL5" s="175">
        <f>IF(ISNA(VLOOKUP($AD5,Bowling!$B$4:$S$36,9,FALSE)),0,(VLOOKUP($AD5,Bowling!$B$4:$S$36,9,FALSE)))</f>
        <v>4.7857142857142856</v>
      </c>
      <c r="AM5" s="175">
        <f>IF(ISNA(VLOOKUP($AD5,Bowling!$B$4:$S$36,10,FALSE)),0,(VLOOKUP($AD5,Bowling!$B$4:$S$36,10,FALSE)))</f>
        <v>5.5820895522388057</v>
      </c>
      <c r="AN5" s="175">
        <f>IF(ISNA(VLOOKUP($AD5,Bowling!$B$4:$S$36,11,FALSE)),0,(VLOOKUP($AD5,Bowling!$B$4:$S$36,11,FALSE)))</f>
        <v>26.714285714285715</v>
      </c>
      <c r="AO5" s="134"/>
      <c r="AP5" s="170">
        <f>IF(ISNA(VLOOKUP($AD5,Bowling!$B$4:$S$36,13,FALSE)),0,(VLOOKUP($AD5,Bowling!$B$4:$S$36,13,FALSE)))</f>
        <v>0</v>
      </c>
      <c r="AQ5" s="170">
        <f>IF(ISNA(VLOOKUP($AD5,Bowling!$B$4:$S$36,14,FALSE)),0,(VLOOKUP($AD5,Bowling!$B$4:$S$36,14,FALSE)))</f>
        <v>0</v>
      </c>
      <c r="AR5" s="170">
        <f>IF(ISNA(VLOOKUP($AD5,Bowling!$B$4:$S$36,15,FALSE)),0,(VLOOKUP($AD5,Bowling!$B$4:$S$36,15,FALSE)))</f>
        <v>0</v>
      </c>
      <c r="AS5" s="170">
        <f>IF(ISNA(VLOOKUP($AD5,Bowling!$B$4:$S$36,16,FALSE)),0,(VLOOKUP($AD5,Bowling!$B$4:$S$36,16,FALSE)))</f>
        <v>0</v>
      </c>
      <c r="AT5" s="124"/>
      <c r="AU5" s="177">
        <f>IF(ISNA(VLOOKUP($AD5,Bowling!$B$4:$S$36,18,FALSE)),0,(VLOOKUP($AD5,Bowling!$B$4:$S$36,18,FALSE)))</f>
        <v>205.2</v>
      </c>
      <c r="AW5" s="158" t="str">
        <f>+C5</f>
        <v>STYLES, Ryan</v>
      </c>
      <c r="AX5" s="159" t="str">
        <f t="shared" ref="AX5:AX35" si="27">D5</f>
        <v>(AUS)</v>
      </c>
      <c r="AY5" s="170">
        <f>IF(ISNA(VLOOKUP($AW5,Fielding!$B$5:$H$79,3,FALSE)),0,(VLOOKUP($AW5,Fielding!$B$5:$H$79,3,FALSE)))</f>
        <v>4</v>
      </c>
      <c r="AZ5" s="170" t="str">
        <f>IF(ISNA(VLOOKUP($AW5,Fielding!$B$5:$H$79,4,FALSE)),0,(VLOOKUP($AW5,Fielding!$B$5:$H$79,4,FALSE)))</f>
        <v>0</v>
      </c>
      <c r="BA5" s="170">
        <f>IF(ISNA(VLOOKUP($AW5,Fielding!$B$5:$H$79,5,FALSE)),0,(VLOOKUP($AW5,Fielding!$B$5:$H$79,5,FALSE)))</f>
        <v>1</v>
      </c>
      <c r="BC5" s="178">
        <f>IF(ISNA(VLOOKUP($AW5,Fielding!$B$5:$H$79,7,FALSE)),0,(VLOOKUP($AW5,Fielding!$B$5:$H$79,7,FALSE)))</f>
        <v>40</v>
      </c>
    </row>
    <row r="6" spans="1:55" ht="13.5" customHeight="1" x14ac:dyDescent="0.2">
      <c r="A6" s="119"/>
      <c r="B6" s="157">
        <f t="shared" si="14"/>
        <v>3</v>
      </c>
      <c r="C6" s="158" t="s">
        <v>185</v>
      </c>
      <c r="D6" s="159" t="s">
        <v>188</v>
      </c>
      <c r="E6" s="160">
        <f t="shared" si="15"/>
        <v>13</v>
      </c>
      <c r="F6" s="161">
        <f t="shared" si="16"/>
        <v>181</v>
      </c>
      <c r="G6" s="162">
        <f t="shared" si="17"/>
        <v>265</v>
      </c>
      <c r="H6" s="161">
        <f t="shared" si="18"/>
        <v>237.6</v>
      </c>
      <c r="I6" s="162">
        <f t="shared" si="19"/>
        <v>16</v>
      </c>
      <c r="J6" s="161">
        <f t="shared" si="20"/>
        <v>40</v>
      </c>
      <c r="K6" s="162">
        <f t="shared" si="21"/>
        <v>5</v>
      </c>
      <c r="L6" s="117"/>
      <c r="M6" s="163">
        <f t="shared" si="22"/>
        <v>458.6</v>
      </c>
      <c r="N6" s="164">
        <f t="shared" ref="N6:N35" si="28">M6/E6</f>
        <v>35.276923076923076</v>
      </c>
      <c r="P6" s="124"/>
      <c r="Q6" s="158" t="str">
        <f t="shared" si="23"/>
        <v>PRICE, Richard</v>
      </c>
      <c r="R6" s="159" t="str">
        <f t="shared" si="24"/>
        <v>(NZ)</v>
      </c>
      <c r="S6" s="170">
        <f>IF(ISNA(VLOOKUP($Q6,Batting!$B$5:$M$103,3,FALSE)),0,(VLOOKUP($Q6,Batting!$B$5:$M$103,3,FALSE)))</f>
        <v>13</v>
      </c>
      <c r="T6" s="171">
        <f>IF(ISNA(VLOOKUP($Q6,Batting!$B$5:$M$103,4,FALSE)),0,(VLOOKUP($Q6,Batting!$B$5:$M$103,4,FALSE)))</f>
        <v>13</v>
      </c>
      <c r="U6" s="171">
        <f>IF(ISNA(VLOOKUP($Q6,Batting!$B$5:$M$103,5,FALSE)),0,(VLOOKUP($Q6,Batting!$B$5:$M$103,5,FALSE)))</f>
        <v>1</v>
      </c>
      <c r="V6" s="171">
        <f>IF(ISNA(VLOOKUP($Q6,Batting!$B$5:$M$103,6,FALSE)),0,(VLOOKUP($Q6,Batting!$B$5:$M$103,6,FALSE)))</f>
        <v>265</v>
      </c>
      <c r="W6" s="172">
        <f>IF(ISNA(VLOOKUP($Q6,Batting!$B$5:$M$103,7,FALSE)),0,(VLOOKUP($Q6,Batting!$B$5:$M$103,7,FALSE)))</f>
        <v>45</v>
      </c>
      <c r="X6" s="171">
        <f>IF(ISNA(VLOOKUP($Q6,Batting!$B$5:$M$103,8,FALSE)),0,(VLOOKUP($Q6,Batting!$B$5:$M$103,8,FALSE)))</f>
        <v>0</v>
      </c>
      <c r="Y6" s="173">
        <f>IF(ISNA(VLOOKUP($Q6,Batting!$B$5:$M$103,9,FALSE)),0,(VLOOKUP($Q6,Batting!$B$5:$M$103,9,FALSE)))</f>
        <v>22.083333333333332</v>
      </c>
      <c r="Z6" s="194" t="str">
        <f>IF(ISNA(VLOOKUP($Q6,Batting!$B$5:$M$103,10,FALSE)),"",(VLOOKUP($Q6,Batting!$B$5:$M$103,10,FALSE)))</f>
        <v/>
      </c>
      <c r="AA6" s="121"/>
      <c r="AB6" s="174">
        <f>IF(ISNA(VLOOKUP($Q6,Batting!$B$5:$M$103,12,FALSE)),0,(VLOOKUP($Q6,Batting!$B$5:$M$103,12,FALSE)))</f>
        <v>181</v>
      </c>
      <c r="AD6" s="158" t="str">
        <f t="shared" si="25"/>
        <v>PRICE, Richard</v>
      </c>
      <c r="AE6" s="159" t="str">
        <f t="shared" si="26"/>
        <v>(NZ)</v>
      </c>
      <c r="AF6" s="170">
        <f>IF(ISNA(VLOOKUP($AD6,Bowling!$B$4:$S$36,3,FALSE)),0,(VLOOKUP($AD6,Bowling!$B$4:$S$36,3,FALSE)))</f>
        <v>13</v>
      </c>
      <c r="AG6" s="171">
        <f>IF(ISNA(VLOOKUP($AD6,Bowling!$B$4:$S$36,4,FALSE)),0,(VLOOKUP($AD6,Bowling!$B$4:$S$36,4,FALSE)))</f>
        <v>13</v>
      </c>
      <c r="AH6" s="175">
        <f>IF(ISNA(VLOOKUP($AD6,Bowling!$B$4:$S$36,5,FALSE)),0,(VLOOKUP($AD6,Bowling!$B$4:$S$36,5,FALSE)))</f>
        <v>83.2</v>
      </c>
      <c r="AI6" s="176">
        <f>IF(ISNA(VLOOKUP($AD6,Bowling!$B$4:$S$36,6,FALSE)),0,(VLOOKUP($AD6,Bowling!$B$4:$S$36,6,FALSE)))</f>
        <v>7</v>
      </c>
      <c r="AJ6" s="176">
        <f>IF(ISNA(VLOOKUP($AD6,Bowling!$B$4:$S$36,7,FALSE)),0,(VLOOKUP($AD6,Bowling!$B$4:$S$36,7,FALSE)))</f>
        <v>412</v>
      </c>
      <c r="AK6" s="176">
        <f>IF(ISNA(VLOOKUP($AD6,Bowling!$B$4:$S$36,8,FALSE)),0,(VLOOKUP($AD6,Bowling!$B$4:$S$36,8,FALSE)))</f>
        <v>16</v>
      </c>
      <c r="AL6" s="175">
        <f>IF(ISNA(VLOOKUP($AD6,Bowling!$B$4:$S$36,9,FALSE)),0,(VLOOKUP($AD6,Bowling!$B$4:$S$36,9,FALSE)))</f>
        <v>5.2</v>
      </c>
      <c r="AM6" s="175">
        <f>IF(ISNA(VLOOKUP($AD6,Bowling!$B$4:$S$36,10,FALSE)),0,(VLOOKUP($AD6,Bowling!$B$4:$S$36,10,FALSE)))</f>
        <v>4.9519230769230766</v>
      </c>
      <c r="AN6" s="175">
        <f>IF(ISNA(VLOOKUP($AD6,Bowling!$B$4:$S$36,11,FALSE)),0,(VLOOKUP($AD6,Bowling!$B$4:$S$36,11,FALSE)))</f>
        <v>25.75</v>
      </c>
      <c r="AO6" s="134"/>
      <c r="AP6" s="170">
        <f>IF(ISNA(VLOOKUP($AD6,Bowling!$B$4:$S$36,13,FALSE)),0,(VLOOKUP($AD6,Bowling!$B$4:$S$36,13,FALSE)))</f>
        <v>0</v>
      </c>
      <c r="AQ6" s="170">
        <f>IF(ISNA(VLOOKUP($AD6,Bowling!$B$4:$S$36,14,FALSE)),0,(VLOOKUP($AD6,Bowling!$B$4:$S$36,14,FALSE)))</f>
        <v>0</v>
      </c>
      <c r="AR6" s="170">
        <f>IF(ISNA(VLOOKUP($AD6,Bowling!$B$4:$S$36,15,FALSE)),0,(VLOOKUP($AD6,Bowling!$B$4:$S$36,15,FALSE)))</f>
        <v>0</v>
      </c>
      <c r="AS6" s="170">
        <f>IF(ISNA(VLOOKUP($AD6,Bowling!$B$4:$S$36,16,FALSE)),0,(VLOOKUP($AD6,Bowling!$B$4:$S$36,16,FALSE)))</f>
        <v>0</v>
      </c>
      <c r="AT6" s="124"/>
      <c r="AU6" s="177">
        <f>IF(ISNA(VLOOKUP($AD6,Bowling!$B$4:$S$36,18,FALSE)),0,(VLOOKUP($AD6,Bowling!$B$4:$S$36,18,FALSE)))</f>
        <v>237.6</v>
      </c>
      <c r="AW6" s="158" t="str">
        <f>+C6</f>
        <v>PRICE, Richard</v>
      </c>
      <c r="AX6" s="159" t="str">
        <f t="shared" si="27"/>
        <v>(NZ)</v>
      </c>
      <c r="AY6" s="170">
        <f>IF(ISNA(VLOOKUP($AW6,Fielding!$B$5:$H$79,3,FALSE)),0,(VLOOKUP($AW6,Fielding!$B$5:$H$79,3,FALSE)))</f>
        <v>5</v>
      </c>
      <c r="AZ6" s="170" t="str">
        <f>IF(ISNA(VLOOKUP($AW6,Fielding!$B$5:$H$79,4,FALSE)),0,(VLOOKUP($AW6,Fielding!$B$5:$H$79,4,FALSE)))</f>
        <v>0</v>
      </c>
      <c r="BA6" s="170" t="str">
        <f>IF(ISNA(VLOOKUP($AW6,Fielding!$B$5:$H$79,5,FALSE)),0,(VLOOKUP($AW6,Fielding!$B$5:$H$79,5,FALSE)))</f>
        <v>0</v>
      </c>
      <c r="BC6" s="178">
        <f>IF(ISNA(VLOOKUP($AW6,Fielding!$B$5:$H$79,7,FALSE)),0,(VLOOKUP($AW6,Fielding!$B$5:$H$79,7,FALSE)))</f>
        <v>40</v>
      </c>
    </row>
    <row r="7" spans="1:55" ht="13.5" customHeight="1" x14ac:dyDescent="0.2">
      <c r="A7" s="119"/>
      <c r="B7" s="157">
        <f t="shared" si="14"/>
        <v>4</v>
      </c>
      <c r="C7" s="158" t="s">
        <v>216</v>
      </c>
      <c r="D7" s="159" t="s">
        <v>189</v>
      </c>
      <c r="E7" s="160">
        <f t="shared" si="15"/>
        <v>12</v>
      </c>
      <c r="F7" s="161">
        <f t="shared" si="16"/>
        <v>138</v>
      </c>
      <c r="G7" s="162">
        <f t="shared" si="17"/>
        <v>208</v>
      </c>
      <c r="H7" s="161">
        <f t="shared" si="18"/>
        <v>280.2</v>
      </c>
      <c r="I7" s="162">
        <f t="shared" si="19"/>
        <v>18</v>
      </c>
      <c r="J7" s="161">
        <f t="shared" si="20"/>
        <v>24</v>
      </c>
      <c r="K7" s="162">
        <f t="shared" si="21"/>
        <v>3</v>
      </c>
      <c r="L7" s="117"/>
      <c r="M7" s="163">
        <f t="shared" si="22"/>
        <v>442.2</v>
      </c>
      <c r="N7" s="164">
        <f t="shared" si="28"/>
        <v>36.85</v>
      </c>
      <c r="P7" s="124"/>
      <c r="Q7" s="158" t="str">
        <f t="shared" si="23"/>
        <v>MASON, Jim</v>
      </c>
      <c r="R7" s="159" t="str">
        <f t="shared" si="24"/>
        <v>(AUS)</v>
      </c>
      <c r="S7" s="170">
        <f>IF(ISNA(VLOOKUP($Q7,Batting!$B$5:$M$103,3,FALSE)),0,(VLOOKUP($Q7,Batting!$B$5:$M$103,3,FALSE)))</f>
        <v>12</v>
      </c>
      <c r="T7" s="171">
        <f>IF(ISNA(VLOOKUP($Q7,Batting!$B$5:$M$103,4,FALSE)),0,(VLOOKUP($Q7,Batting!$B$5:$M$103,4,FALSE)))</f>
        <v>11</v>
      </c>
      <c r="U7" s="171">
        <f>IF(ISNA(VLOOKUP($Q7,Batting!$B$5:$M$103,5,FALSE)),0,(VLOOKUP($Q7,Batting!$B$5:$M$103,5,FALSE)))</f>
        <v>1</v>
      </c>
      <c r="V7" s="171">
        <f>IF(ISNA(VLOOKUP($Q7,Batting!$B$5:$M$103,6,FALSE)),0,(VLOOKUP($Q7,Batting!$B$5:$M$103,6,FALSE)))</f>
        <v>208</v>
      </c>
      <c r="W7" s="172">
        <f>IF(ISNA(VLOOKUP($Q7,Batting!$B$5:$M$103,7,FALSE)),0,(VLOOKUP($Q7,Batting!$B$5:$M$103,7,FALSE)))</f>
        <v>49</v>
      </c>
      <c r="X7" s="171">
        <f>IF(ISNA(VLOOKUP($Q7,Batting!$B$5:$M$103,8,FALSE)),0,(VLOOKUP($Q7,Batting!$B$5:$M$103,8,FALSE)))</f>
        <v>0</v>
      </c>
      <c r="Y7" s="173">
        <f>IF(ISNA(VLOOKUP($Q7,Batting!$B$5:$M$103,9,FALSE)),0,(VLOOKUP($Q7,Batting!$B$5:$M$103,9,FALSE)))</f>
        <v>20.8</v>
      </c>
      <c r="Z7" s="194" t="str">
        <f>IF(ISNA(VLOOKUP($Q7,Batting!$B$5:$M$103,10,FALSE)),"",(VLOOKUP($Q7,Batting!$B$5:$M$103,10,FALSE)))</f>
        <v/>
      </c>
      <c r="AA7" s="121"/>
      <c r="AB7" s="174">
        <f>IF(ISNA(VLOOKUP($Q7,Batting!$B$5:$M$103,12,FALSE)),0,(VLOOKUP($Q7,Batting!$B$5:$M$103,12,FALSE)))</f>
        <v>138</v>
      </c>
      <c r="AD7" s="158" t="str">
        <f t="shared" si="25"/>
        <v>MASON, Jim</v>
      </c>
      <c r="AE7" s="159" t="str">
        <f t="shared" si="26"/>
        <v>(AUS)</v>
      </c>
      <c r="AF7" s="170">
        <f>IF(ISNA(VLOOKUP($AD7,Bowling!$B$4:$S$36,3,FALSE)),0,(VLOOKUP($AD7,Bowling!$B$4:$S$36,3,FALSE)))</f>
        <v>12</v>
      </c>
      <c r="AG7" s="171">
        <f>IF(ISNA(VLOOKUP($AD7,Bowling!$B$4:$S$36,4,FALSE)),0,(VLOOKUP($AD7,Bowling!$B$4:$S$36,4,FALSE)))</f>
        <v>12</v>
      </c>
      <c r="AH7" s="175">
        <f>IF(ISNA(VLOOKUP($AD7,Bowling!$B$4:$S$36,5,FALSE)),0,(VLOOKUP($AD7,Bowling!$B$4:$S$36,5,FALSE)))</f>
        <v>64.3</v>
      </c>
      <c r="AI7" s="176">
        <f>IF(ISNA(VLOOKUP($AD7,Bowling!$B$4:$S$36,6,FALSE)),0,(VLOOKUP($AD7,Bowling!$B$4:$S$36,6,FALSE)))</f>
        <v>3</v>
      </c>
      <c r="AJ7" s="176">
        <f>IF(ISNA(VLOOKUP($AD7,Bowling!$B$4:$S$36,7,FALSE)),0,(VLOOKUP($AD7,Bowling!$B$4:$S$36,7,FALSE)))</f>
        <v>399</v>
      </c>
      <c r="AK7" s="176">
        <f>IF(ISNA(VLOOKUP($AD7,Bowling!$B$4:$S$36,8,FALSE)),0,(VLOOKUP($AD7,Bowling!$B$4:$S$36,8,FALSE)))</f>
        <v>18</v>
      </c>
      <c r="AL7" s="175">
        <f>IF(ISNA(VLOOKUP($AD7,Bowling!$B$4:$S$36,9,FALSE)),0,(VLOOKUP($AD7,Bowling!$B$4:$S$36,9,FALSE)))</f>
        <v>3.572222222222222</v>
      </c>
      <c r="AM7" s="175">
        <f>IF(ISNA(VLOOKUP($AD7,Bowling!$B$4:$S$36,10,FALSE)),0,(VLOOKUP($AD7,Bowling!$B$4:$S$36,10,FALSE)))</f>
        <v>6.2052877138413685</v>
      </c>
      <c r="AN7" s="175">
        <f>IF(ISNA(VLOOKUP($AD7,Bowling!$B$4:$S$36,11,FALSE)),0,(VLOOKUP($AD7,Bowling!$B$4:$S$36,11,FALSE)))</f>
        <v>22.166666666666668</v>
      </c>
      <c r="AO7" s="134"/>
      <c r="AP7" s="170">
        <f>IF(ISNA(VLOOKUP($AD7,Bowling!$B$4:$S$36,13,FALSE)),0,(VLOOKUP($AD7,Bowling!$B$4:$S$36,13,FALSE)))</f>
        <v>0</v>
      </c>
      <c r="AQ7" s="170">
        <f>IF(ISNA(VLOOKUP($AD7,Bowling!$B$4:$S$36,14,FALSE)),0,(VLOOKUP($AD7,Bowling!$B$4:$S$36,14,FALSE)))</f>
        <v>0</v>
      </c>
      <c r="AR7" s="170">
        <f>IF(ISNA(VLOOKUP($AD7,Bowling!$B$4:$S$36,15,FALSE)),0,(VLOOKUP($AD7,Bowling!$B$4:$S$36,15,FALSE)))</f>
        <v>0</v>
      </c>
      <c r="AS7" s="170">
        <f>IF(ISNA(VLOOKUP($AD7,Bowling!$B$4:$S$36,16,FALSE)),0,(VLOOKUP($AD7,Bowling!$B$4:$S$36,16,FALSE)))</f>
        <v>0</v>
      </c>
      <c r="AT7" s="124"/>
      <c r="AU7" s="177">
        <f>IF(ISNA(VLOOKUP($AD7,Bowling!$B$4:$S$36,18,FALSE)),0,(VLOOKUP($AD7,Bowling!$B$4:$S$36,18,FALSE)))</f>
        <v>280.2</v>
      </c>
      <c r="AW7" s="158" t="str">
        <f>+C7</f>
        <v>MASON, Jim</v>
      </c>
      <c r="AX7" s="159" t="str">
        <f t="shared" si="27"/>
        <v>(AUS)</v>
      </c>
      <c r="AY7" s="170">
        <f>IF(ISNA(VLOOKUP($AW7,Fielding!$B$5:$H$79,3,FALSE)),0,(VLOOKUP($AW7,Fielding!$B$5:$H$79,3,FALSE)))</f>
        <v>3</v>
      </c>
      <c r="AZ7" s="170" t="str">
        <f>IF(ISNA(VLOOKUP($AW7,Fielding!$B$5:$H$79,4,FALSE)),0,(VLOOKUP($AW7,Fielding!$B$5:$H$79,4,FALSE)))</f>
        <v>0</v>
      </c>
      <c r="BA7" s="170" t="str">
        <f>IF(ISNA(VLOOKUP($AW7,Fielding!$B$5:$H$79,5,FALSE)),0,(VLOOKUP($AW7,Fielding!$B$5:$H$79,5,FALSE)))</f>
        <v>0</v>
      </c>
      <c r="BC7" s="178">
        <f>IF(ISNA(VLOOKUP($AW7,Fielding!$B$5:$H$79,7,FALSE)),0,(VLOOKUP($AW7,Fielding!$B$5:$H$79,7,FALSE)))</f>
        <v>24</v>
      </c>
    </row>
    <row r="8" spans="1:55" ht="13.5" customHeight="1" x14ac:dyDescent="0.2">
      <c r="A8" s="119"/>
      <c r="B8" s="157">
        <f t="shared" si="14"/>
        <v>5</v>
      </c>
      <c r="C8" s="158" t="s">
        <v>42</v>
      </c>
      <c r="D8" s="159" t="s">
        <v>189</v>
      </c>
      <c r="E8" s="160">
        <f t="shared" si="15"/>
        <v>14</v>
      </c>
      <c r="F8" s="161">
        <f t="shared" si="16"/>
        <v>54</v>
      </c>
      <c r="G8" s="162">
        <f t="shared" si="17"/>
        <v>89</v>
      </c>
      <c r="H8" s="161">
        <f t="shared" si="18"/>
        <v>228.2</v>
      </c>
      <c r="I8" s="162">
        <f t="shared" si="19"/>
        <v>14</v>
      </c>
      <c r="J8" s="161">
        <f t="shared" si="20"/>
        <v>32</v>
      </c>
      <c r="K8" s="162">
        <f t="shared" si="21"/>
        <v>4</v>
      </c>
      <c r="L8" s="117"/>
      <c r="M8" s="163">
        <f t="shared" si="22"/>
        <v>314.2</v>
      </c>
      <c r="N8" s="164">
        <f t="shared" si="28"/>
        <v>22.442857142857143</v>
      </c>
      <c r="P8" s="124"/>
      <c r="Q8" s="158" t="str">
        <f t="shared" si="23"/>
        <v>SPARROW, Luke</v>
      </c>
      <c r="R8" s="159" t="str">
        <f t="shared" si="24"/>
        <v>(AUS)</v>
      </c>
      <c r="S8" s="170">
        <f>IF(ISNA(VLOOKUP($Q8,Batting!$B$5:$M$103,3,FALSE)),0,(VLOOKUP($Q8,Batting!$B$5:$M$103,3,FALSE)))</f>
        <v>14</v>
      </c>
      <c r="T8" s="171">
        <f>IF(ISNA(VLOOKUP($Q8,Batting!$B$5:$M$103,4,FALSE)),0,(VLOOKUP($Q8,Batting!$B$5:$M$103,4,FALSE)))</f>
        <v>9</v>
      </c>
      <c r="U8" s="171">
        <f>IF(ISNA(VLOOKUP($Q8,Batting!$B$5:$M$103,5,FALSE)),0,(VLOOKUP($Q8,Batting!$B$5:$M$103,5,FALSE)))</f>
        <v>4</v>
      </c>
      <c r="V8" s="171">
        <f>IF(ISNA(VLOOKUP($Q8,Batting!$B$5:$M$103,6,FALSE)),0,(VLOOKUP($Q8,Batting!$B$5:$M$103,6,FALSE)))</f>
        <v>89</v>
      </c>
      <c r="W8" s="172">
        <f>IF(ISNA(VLOOKUP($Q8,Batting!$B$5:$M$103,7,FALSE)),0,(VLOOKUP($Q8,Batting!$B$5:$M$103,7,FALSE)))</f>
        <v>24</v>
      </c>
      <c r="X8" s="171">
        <f>IF(ISNA(VLOOKUP($Q8,Batting!$B$5:$M$103,8,FALSE)),0,(VLOOKUP($Q8,Batting!$B$5:$M$103,8,FALSE)))</f>
        <v>0</v>
      </c>
      <c r="Y8" s="173">
        <f>IF(ISNA(VLOOKUP($Q8,Batting!$B$5:$M$103,9,FALSE)),0,(VLOOKUP($Q8,Batting!$B$5:$M$103,9,FALSE)))</f>
        <v>17.8</v>
      </c>
      <c r="Z8" s="194" t="str">
        <f>IF(ISNA(VLOOKUP($Q8,Batting!$B$5:$M$103,10,FALSE)),"",(VLOOKUP($Q8,Batting!$B$5:$M$103,10,FALSE)))</f>
        <v/>
      </c>
      <c r="AA8" s="121"/>
      <c r="AB8" s="174">
        <f>IF(ISNA(VLOOKUP($Q8,Batting!$B$5:$M$103,12,FALSE)),0,(VLOOKUP($Q8,Batting!$B$5:$M$103,12,FALSE)))</f>
        <v>54</v>
      </c>
      <c r="AD8" s="158" t="str">
        <f t="shared" si="25"/>
        <v>SPARROW, Luke</v>
      </c>
      <c r="AE8" s="159" t="str">
        <f t="shared" si="26"/>
        <v>(AUS)</v>
      </c>
      <c r="AF8" s="170">
        <f>IF(ISNA(VLOOKUP($AD8,Bowling!$B$4:$S$36,3,FALSE)),0,(VLOOKUP($AD8,Bowling!$B$4:$S$36,3,FALSE)))</f>
        <v>14</v>
      </c>
      <c r="AG8" s="171">
        <f>IF(ISNA(VLOOKUP($AD8,Bowling!$B$4:$S$36,4,FALSE)),0,(VLOOKUP($AD8,Bowling!$B$4:$S$36,4,FALSE)))</f>
        <v>10</v>
      </c>
      <c r="AH8" s="175">
        <f>IF(ISNA(VLOOKUP($AD8,Bowling!$B$4:$S$36,5,FALSE)),0,(VLOOKUP($AD8,Bowling!$B$4:$S$36,5,FALSE)))</f>
        <v>64.8</v>
      </c>
      <c r="AI8" s="176">
        <f>IF(ISNA(VLOOKUP($AD8,Bowling!$B$4:$S$36,6,FALSE)),0,(VLOOKUP($AD8,Bowling!$B$4:$S$36,6,FALSE)))</f>
        <v>13</v>
      </c>
      <c r="AJ8" s="176">
        <f>IF(ISNA(VLOOKUP($AD8,Bowling!$B$4:$S$36,7,FALSE)),0,(VLOOKUP($AD8,Bowling!$B$4:$S$36,7,FALSE)))</f>
        <v>259</v>
      </c>
      <c r="AK8" s="176">
        <f>IF(ISNA(VLOOKUP($AD8,Bowling!$B$4:$S$36,8,FALSE)),0,(VLOOKUP($AD8,Bowling!$B$4:$S$36,8,FALSE)))</f>
        <v>14</v>
      </c>
      <c r="AL8" s="175">
        <f>IF(ISNA(VLOOKUP($AD8,Bowling!$B$4:$S$36,9,FALSE)),0,(VLOOKUP($AD8,Bowling!$B$4:$S$36,9,FALSE)))</f>
        <v>4.6285714285714281</v>
      </c>
      <c r="AM8" s="175">
        <f>IF(ISNA(VLOOKUP($AD8,Bowling!$B$4:$S$36,10,FALSE)),0,(VLOOKUP($AD8,Bowling!$B$4:$S$36,10,FALSE)))</f>
        <v>3.9969135802469138</v>
      </c>
      <c r="AN8" s="175">
        <f>IF(ISNA(VLOOKUP($AD8,Bowling!$B$4:$S$36,11,FALSE)),0,(VLOOKUP($AD8,Bowling!$B$4:$S$36,11,FALSE)))</f>
        <v>18.5</v>
      </c>
      <c r="AO8" s="134"/>
      <c r="AP8" s="170">
        <f>IF(ISNA(VLOOKUP($AD8,Bowling!$B$4:$S$36,13,FALSE)),0,(VLOOKUP($AD8,Bowling!$B$4:$S$36,13,FALSE)))</f>
        <v>0</v>
      </c>
      <c r="AQ8" s="170">
        <f>IF(ISNA(VLOOKUP($AD8,Bowling!$B$4:$S$36,14,FALSE)),0,(VLOOKUP($AD8,Bowling!$B$4:$S$36,14,FALSE)))</f>
        <v>0</v>
      </c>
      <c r="AR8" s="170">
        <f>IF(ISNA(VLOOKUP($AD8,Bowling!$B$4:$S$36,15,FALSE)),0,(VLOOKUP($AD8,Bowling!$B$4:$S$36,15,FALSE)))</f>
        <v>0</v>
      </c>
      <c r="AS8" s="170">
        <f>IF(ISNA(VLOOKUP($AD8,Bowling!$B$4:$S$36,16,FALSE)),0,(VLOOKUP($AD8,Bowling!$B$4:$S$36,16,FALSE)))</f>
        <v>0</v>
      </c>
      <c r="AT8" s="124"/>
      <c r="AU8" s="177">
        <f>IF(ISNA(VLOOKUP($AD8,Bowling!$B$4:$S$36,18,FALSE)),0,(VLOOKUP($AD8,Bowling!$B$4:$S$36,18,FALSE)))</f>
        <v>228.2</v>
      </c>
      <c r="AW8" s="158" t="str">
        <f>+C8</f>
        <v>SPARROW, Luke</v>
      </c>
      <c r="AX8" s="159" t="str">
        <f t="shared" si="27"/>
        <v>(AUS)</v>
      </c>
      <c r="AY8" s="170">
        <f>IF(ISNA(VLOOKUP($AW8,Fielding!$B$5:$H$79,3,FALSE)),0,(VLOOKUP($AW8,Fielding!$B$5:$H$79,3,FALSE)))</f>
        <v>4</v>
      </c>
      <c r="AZ8" s="170" t="str">
        <f>IF(ISNA(VLOOKUP($AW8,Fielding!$B$5:$H$79,4,FALSE)),0,(VLOOKUP($AW8,Fielding!$B$5:$H$79,4,FALSE)))</f>
        <v>0</v>
      </c>
      <c r="BA8" s="170" t="str">
        <f>IF(ISNA(VLOOKUP($AW8,Fielding!$B$5:$H$79,5,FALSE)),0,(VLOOKUP($AW8,Fielding!$B$5:$H$79,5,FALSE)))</f>
        <v>0</v>
      </c>
      <c r="BC8" s="178">
        <f>IF(ISNA(VLOOKUP($AW8,Fielding!$B$5:$H$79,7,FALSE)),0,(VLOOKUP($AW8,Fielding!$B$5:$H$79,7,FALSE)))</f>
        <v>32</v>
      </c>
    </row>
    <row r="9" spans="1:55" ht="13.5" customHeight="1" x14ac:dyDescent="0.2">
      <c r="A9" s="119"/>
      <c r="B9" s="157">
        <f t="shared" si="14"/>
        <v>6</v>
      </c>
      <c r="C9" s="158" t="s">
        <v>206</v>
      </c>
      <c r="D9" s="159" t="s">
        <v>188</v>
      </c>
      <c r="E9" s="160">
        <f t="shared" si="15"/>
        <v>8</v>
      </c>
      <c r="F9" s="161">
        <f t="shared" si="16"/>
        <v>75</v>
      </c>
      <c r="G9" s="162">
        <f t="shared" si="17"/>
        <v>124</v>
      </c>
      <c r="H9" s="161">
        <f t="shared" si="18"/>
        <v>170</v>
      </c>
      <c r="I9" s="162">
        <f t="shared" si="19"/>
        <v>11</v>
      </c>
      <c r="J9" s="161">
        <f t="shared" si="20"/>
        <v>0</v>
      </c>
      <c r="K9" s="162" t="str">
        <f t="shared" si="21"/>
        <v/>
      </c>
      <c r="L9" s="117"/>
      <c r="M9" s="163">
        <f t="shared" si="22"/>
        <v>245</v>
      </c>
      <c r="N9" s="164">
        <f t="shared" si="28"/>
        <v>30.625</v>
      </c>
      <c r="P9" s="124"/>
      <c r="Q9" s="158" t="str">
        <f t="shared" si="23"/>
        <v>GRIEVE, Nick</v>
      </c>
      <c r="R9" s="159" t="str">
        <f t="shared" si="24"/>
        <v>(NZ)</v>
      </c>
      <c r="S9" s="170">
        <f>IF(ISNA(VLOOKUP($Q9,Batting!$B$5:$M$103,3,FALSE)),0,(VLOOKUP($Q9,Batting!$B$5:$M$103,3,FALSE)))</f>
        <v>8</v>
      </c>
      <c r="T9" s="171">
        <f>IF(ISNA(VLOOKUP($Q9,Batting!$B$5:$M$103,4,FALSE)),0,(VLOOKUP($Q9,Batting!$B$5:$M$103,4,FALSE)))</f>
        <v>7</v>
      </c>
      <c r="U9" s="171">
        <f>IF(ISNA(VLOOKUP($Q9,Batting!$B$5:$M$103,5,FALSE)),0,(VLOOKUP($Q9,Batting!$B$5:$M$103,5,FALSE)))</f>
        <v>0</v>
      </c>
      <c r="V9" s="171">
        <f>IF(ISNA(VLOOKUP($Q9,Batting!$B$5:$M$103,6,FALSE)),0,(VLOOKUP($Q9,Batting!$B$5:$M$103,6,FALSE)))</f>
        <v>124</v>
      </c>
      <c r="W9" s="172">
        <f>IF(ISNA(VLOOKUP($Q9,Batting!$B$5:$M$103,7,FALSE)),0,(VLOOKUP($Q9,Batting!$B$5:$M$103,7,FALSE)))</f>
        <v>30</v>
      </c>
      <c r="X9" s="171">
        <f>IF(ISNA(VLOOKUP($Q9,Batting!$B$5:$M$103,8,FALSE)),0,(VLOOKUP($Q9,Batting!$B$5:$M$103,8,FALSE)))</f>
        <v>0</v>
      </c>
      <c r="Y9" s="173">
        <f>IF(ISNA(VLOOKUP($Q9,Batting!$B$5:$M$103,9,FALSE)),0,(VLOOKUP($Q9,Batting!$B$5:$M$103,9,FALSE)))</f>
        <v>17.714285714285715</v>
      </c>
      <c r="Z9" s="194" t="str">
        <f>IF(ISNA(VLOOKUP($Q9,Batting!$B$5:$M$103,10,FALSE)),"",(VLOOKUP($Q9,Batting!$B$5:$M$103,10,FALSE)))</f>
        <v/>
      </c>
      <c r="AA9" s="121"/>
      <c r="AB9" s="174">
        <f>IF(ISNA(VLOOKUP($Q9,Batting!$B$5:$M$103,12,FALSE)),0,(VLOOKUP($Q9,Batting!$B$5:$M$103,12,FALSE)))</f>
        <v>75</v>
      </c>
      <c r="AD9" s="158" t="str">
        <f t="shared" si="25"/>
        <v>GRIEVE, Nick</v>
      </c>
      <c r="AE9" s="159" t="str">
        <f t="shared" si="26"/>
        <v>(NZ)</v>
      </c>
      <c r="AF9" s="170">
        <f>IF(ISNA(VLOOKUP($AD9,Bowling!$B$4:$S$36,3,FALSE)),0,(VLOOKUP($AD9,Bowling!$B$4:$S$36,3,FALSE)))</f>
        <v>8</v>
      </c>
      <c r="AG9" s="171">
        <f>IF(ISNA(VLOOKUP($AD9,Bowling!$B$4:$S$36,4,FALSE)),0,(VLOOKUP($AD9,Bowling!$B$4:$S$36,4,FALSE)))</f>
        <v>8</v>
      </c>
      <c r="AH9" s="175">
        <f>IF(ISNA(VLOOKUP($AD9,Bowling!$B$4:$S$36,5,FALSE)),0,(VLOOKUP($AD9,Bowling!$B$4:$S$36,5,FALSE)))</f>
        <v>40</v>
      </c>
      <c r="AI9" s="176">
        <f>IF(ISNA(VLOOKUP($AD9,Bowling!$B$4:$S$36,6,FALSE)),0,(VLOOKUP($AD9,Bowling!$B$4:$S$36,6,FALSE)))</f>
        <v>1</v>
      </c>
      <c r="AJ9" s="176">
        <f>IF(ISNA(VLOOKUP($AD9,Bowling!$B$4:$S$36,7,FALSE)),0,(VLOOKUP($AD9,Bowling!$B$4:$S$36,7,FALSE)))</f>
        <v>250</v>
      </c>
      <c r="AK9" s="176">
        <f>IF(ISNA(VLOOKUP($AD9,Bowling!$B$4:$S$36,8,FALSE)),0,(VLOOKUP($AD9,Bowling!$B$4:$S$36,8,FALSE)))</f>
        <v>11</v>
      </c>
      <c r="AL9" s="175">
        <f>IF(ISNA(VLOOKUP($AD9,Bowling!$B$4:$S$36,9,FALSE)),0,(VLOOKUP($AD9,Bowling!$B$4:$S$36,9,FALSE)))</f>
        <v>3.6363636363636362</v>
      </c>
      <c r="AM9" s="175">
        <f>IF(ISNA(VLOOKUP($AD9,Bowling!$B$4:$S$36,10,FALSE)),0,(VLOOKUP($AD9,Bowling!$B$4:$S$36,10,FALSE)))</f>
        <v>6.25</v>
      </c>
      <c r="AN9" s="175">
        <f>IF(ISNA(VLOOKUP($AD9,Bowling!$B$4:$S$36,11,FALSE)),0,(VLOOKUP($AD9,Bowling!$B$4:$S$36,11,FALSE)))</f>
        <v>22.727272727272727</v>
      </c>
      <c r="AO9" s="134"/>
      <c r="AP9" s="170">
        <f>IF(ISNA(VLOOKUP($AD9,Bowling!$B$4:$S$36,13,FALSE)),0,(VLOOKUP($AD9,Bowling!$B$4:$S$36,13,FALSE)))</f>
        <v>0</v>
      </c>
      <c r="AQ9" s="170">
        <f>IF(ISNA(VLOOKUP($AD9,Bowling!$B$4:$S$36,14,FALSE)),0,(VLOOKUP($AD9,Bowling!$B$4:$S$36,14,FALSE)))</f>
        <v>0</v>
      </c>
      <c r="AR9" s="170">
        <f>IF(ISNA(VLOOKUP($AD9,Bowling!$B$4:$S$36,15,FALSE)),0,(VLOOKUP($AD9,Bowling!$B$4:$S$36,15,FALSE)))</f>
        <v>0</v>
      </c>
      <c r="AS9" s="170">
        <f>IF(ISNA(VLOOKUP($AD9,Bowling!$B$4:$S$36,16,FALSE)),0,(VLOOKUP($AD9,Bowling!$B$4:$S$36,16,FALSE)))</f>
        <v>0</v>
      </c>
      <c r="AT9" s="124"/>
      <c r="AU9" s="177">
        <f>IF(ISNA(VLOOKUP($AD9,Bowling!$B$4:$S$36,18,FALSE)),0,(VLOOKUP($AD9,Bowling!$B$4:$S$36,18,FALSE)))</f>
        <v>170</v>
      </c>
      <c r="AW9" s="158" t="str">
        <f>+C9</f>
        <v>GRIEVE, Nick</v>
      </c>
      <c r="AX9" s="159" t="str">
        <f t="shared" si="27"/>
        <v>(NZ)</v>
      </c>
      <c r="AY9" s="170">
        <f>IF(ISNA(VLOOKUP($AW9,Fielding!$B$5:$H$79,3,FALSE)),0,(VLOOKUP($AW9,Fielding!$B$5:$H$79,3,FALSE)))</f>
        <v>0</v>
      </c>
      <c r="AZ9" s="170">
        <f>IF(ISNA(VLOOKUP($AW9,Fielding!$B$5:$H$79,4,FALSE)),0,(VLOOKUP($AW9,Fielding!$B$5:$H$79,4,FALSE)))</f>
        <v>0</v>
      </c>
      <c r="BA9" s="170">
        <f>IF(ISNA(VLOOKUP($AW9,Fielding!$B$5:$H$79,5,FALSE)),0,(VLOOKUP($AW9,Fielding!$B$5:$H$79,5,FALSE)))</f>
        <v>0</v>
      </c>
      <c r="BC9" s="178">
        <f>IF(ISNA(VLOOKUP($AW9,Fielding!$B$5:$H$79,7,FALSE)),0,(VLOOKUP($AW9,Fielding!$B$5:$H$79,7,FALSE)))</f>
        <v>0</v>
      </c>
    </row>
    <row r="10" spans="1:55" ht="13.5" customHeight="1" x14ac:dyDescent="0.2">
      <c r="A10" s="119"/>
      <c r="B10" s="157">
        <f t="shared" si="14"/>
        <v>7</v>
      </c>
      <c r="C10" s="158" t="s">
        <v>44</v>
      </c>
      <c r="D10" s="159" t="s">
        <v>189</v>
      </c>
      <c r="E10" s="160">
        <f t="shared" si="15"/>
        <v>13</v>
      </c>
      <c r="F10" s="161">
        <f t="shared" si="16"/>
        <v>75</v>
      </c>
      <c r="G10" s="162">
        <f t="shared" si="17"/>
        <v>103</v>
      </c>
      <c r="H10" s="161">
        <f t="shared" si="18"/>
        <v>-0.8</v>
      </c>
      <c r="I10" s="162" t="str">
        <f t="shared" si="19"/>
        <v/>
      </c>
      <c r="J10" s="161">
        <f t="shared" si="20"/>
        <v>68</v>
      </c>
      <c r="K10" s="162">
        <f t="shared" si="21"/>
        <v>8</v>
      </c>
      <c r="L10" s="117"/>
      <c r="M10" s="163">
        <f t="shared" si="22"/>
        <v>142.19999999999999</v>
      </c>
      <c r="N10" s="164">
        <f t="shared" si="28"/>
        <v>10.938461538461537</v>
      </c>
      <c r="P10" s="116"/>
      <c r="Q10" s="158" t="str">
        <f t="shared" si="23"/>
        <v>WERREN, Steve</v>
      </c>
      <c r="R10" s="159" t="str">
        <f t="shared" si="24"/>
        <v>(AUS)</v>
      </c>
      <c r="S10" s="170">
        <f>IF(ISNA(VLOOKUP($Q10,Batting!$B$5:$M$103,3,FALSE)),0,(VLOOKUP($Q10,Batting!$B$5:$M$103,3,FALSE)))</f>
        <v>13</v>
      </c>
      <c r="T10" s="171">
        <f>IF(ISNA(VLOOKUP($Q10,Batting!$B$5:$M$103,4,FALSE)),0,(VLOOKUP($Q10,Batting!$B$5:$M$103,4,FALSE)))</f>
        <v>9</v>
      </c>
      <c r="U10" s="171">
        <f>IF(ISNA(VLOOKUP($Q10,Batting!$B$5:$M$103,5,FALSE)),0,(VLOOKUP($Q10,Batting!$B$5:$M$103,5,FALSE)))</f>
        <v>5</v>
      </c>
      <c r="V10" s="171">
        <f>IF(ISNA(VLOOKUP($Q10,Batting!$B$5:$M$103,6,FALSE)),0,(VLOOKUP($Q10,Batting!$B$5:$M$103,6,FALSE)))</f>
        <v>103</v>
      </c>
      <c r="W10" s="172">
        <f>IF(ISNA(VLOOKUP($Q10,Batting!$B$5:$M$103,7,FALSE)),0,(VLOOKUP($Q10,Batting!$B$5:$M$103,7,FALSE)))</f>
        <v>22</v>
      </c>
      <c r="X10" s="171">
        <f>IF(ISNA(VLOOKUP($Q10,Batting!$B$5:$M$103,8,FALSE)),0,(VLOOKUP($Q10,Batting!$B$5:$M$103,8,FALSE)))</f>
        <v>0</v>
      </c>
      <c r="Y10" s="173">
        <f>IF(ISNA(VLOOKUP($Q10,Batting!$B$5:$M$103,9,FALSE)),0,(VLOOKUP($Q10,Batting!$B$5:$M$103,9,FALSE)))</f>
        <v>25.75</v>
      </c>
      <c r="Z10" s="194" t="str">
        <f>IF(ISNA(VLOOKUP($Q10,Batting!$B$5:$M$103,10,FALSE)),"",(VLOOKUP($Q10,Batting!$B$5:$M$103,10,FALSE)))</f>
        <v/>
      </c>
      <c r="AA10" s="121"/>
      <c r="AB10" s="174">
        <f>IF(ISNA(VLOOKUP($Q10,Batting!$B$5:$M$103,12,FALSE)),0,(VLOOKUP($Q10,Batting!$B$5:$M$103,12,FALSE)))</f>
        <v>75</v>
      </c>
      <c r="AD10" s="158" t="str">
        <f t="shared" si="25"/>
        <v>WERREN, Steve</v>
      </c>
      <c r="AE10" s="159" t="str">
        <f t="shared" si="26"/>
        <v>(AUS)</v>
      </c>
      <c r="AF10" s="170">
        <f>IF(ISNA(VLOOKUP($AD10,Bowling!$B$4:$S$36,3,FALSE)),0,(VLOOKUP($AD10,Bowling!$B$4:$S$36,3,FALSE)))</f>
        <v>13</v>
      </c>
      <c r="AG10" s="171">
        <f>IF(ISNA(VLOOKUP($AD10,Bowling!$B$4:$S$36,4,FALSE)),0,(VLOOKUP($AD10,Bowling!$B$4:$S$36,4,FALSE)))</f>
        <v>1</v>
      </c>
      <c r="AH10" s="175">
        <f>IF(ISNA(VLOOKUP($AD10,Bowling!$B$4:$S$36,5,FALSE)),0,(VLOOKUP($AD10,Bowling!$B$4:$S$36,5,FALSE)))</f>
        <v>3</v>
      </c>
      <c r="AI10" s="176">
        <f>IF(ISNA(VLOOKUP($AD10,Bowling!$B$4:$S$36,6,FALSE)),0,(VLOOKUP($AD10,Bowling!$B$4:$S$36,6,FALSE)))</f>
        <v>1</v>
      </c>
      <c r="AJ10" s="176">
        <f>IF(ISNA(VLOOKUP($AD10,Bowling!$B$4:$S$36,7,FALSE)),0,(VLOOKUP($AD10,Bowling!$B$4:$S$36,7,FALSE)))</f>
        <v>4</v>
      </c>
      <c r="AK10" s="176">
        <f>IF(ISNA(VLOOKUP($AD10,Bowling!$B$4:$S$36,8,FALSE)),0,(VLOOKUP($AD10,Bowling!$B$4:$S$36,8,FALSE)))</f>
        <v>0</v>
      </c>
      <c r="AL10" s="175" t="str">
        <f>IF(ISNA(VLOOKUP($AD10,Bowling!$B$4:$S$36,9,FALSE)),0,(VLOOKUP($AD10,Bowling!$B$4:$S$36,9,FALSE)))</f>
        <v>-</v>
      </c>
      <c r="AM10" s="175">
        <f>IF(ISNA(VLOOKUP($AD10,Bowling!$B$4:$S$36,10,FALSE)),0,(VLOOKUP($AD10,Bowling!$B$4:$S$36,10,FALSE)))</f>
        <v>1.3333333333333333</v>
      </c>
      <c r="AN10" s="175" t="str">
        <f>IF(ISNA(VLOOKUP($AD10,Bowling!$B$4:$S$36,11,FALSE)),0,(VLOOKUP($AD10,Bowling!$B$4:$S$36,11,FALSE)))</f>
        <v>-</v>
      </c>
      <c r="AO10" s="134"/>
      <c r="AP10" s="170">
        <f>IF(ISNA(VLOOKUP($AD10,Bowling!$B$4:$S$36,13,FALSE)),0,(VLOOKUP($AD10,Bowling!$B$4:$S$36,13,FALSE)))</f>
        <v>0</v>
      </c>
      <c r="AQ10" s="170">
        <f>IF(ISNA(VLOOKUP($AD10,Bowling!$B$4:$S$36,14,FALSE)),0,(VLOOKUP($AD10,Bowling!$B$4:$S$36,14,FALSE)))</f>
        <v>0</v>
      </c>
      <c r="AR10" s="170">
        <f>IF(ISNA(VLOOKUP($AD10,Bowling!$B$4:$S$36,15,FALSE)),0,(VLOOKUP($AD10,Bowling!$B$4:$S$36,15,FALSE)))</f>
        <v>0</v>
      </c>
      <c r="AS10" s="170">
        <f>IF(ISNA(VLOOKUP($AD10,Bowling!$B$4:$S$36,16,FALSE)),0,(VLOOKUP($AD10,Bowling!$B$4:$S$36,16,FALSE)))</f>
        <v>0</v>
      </c>
      <c r="AT10" s="124"/>
      <c r="AU10" s="177">
        <f>IF(ISNA(VLOOKUP($AD10,Bowling!$B$4:$S$36,18,FALSE)),0,(VLOOKUP($AD10,Bowling!$B$4:$S$36,18,FALSE)))</f>
        <v>-0.8</v>
      </c>
      <c r="AW10" s="158" t="s">
        <v>97</v>
      </c>
      <c r="AX10" s="159" t="str">
        <f t="shared" si="27"/>
        <v>(AUS)</v>
      </c>
      <c r="AY10" s="170">
        <f>IF(ISNA(VLOOKUP($AW10,Fielding!$B$5:$H$79,3,FALSE)),0,(VLOOKUP($AW10,Fielding!$B$5:$H$79,3,FALSE)))</f>
        <v>7</v>
      </c>
      <c r="AZ10" s="170">
        <f>IF(ISNA(VLOOKUP($AW10,Fielding!$B$5:$H$79,4,FALSE)),0,(VLOOKUP($AW10,Fielding!$B$5:$H$79,4,FALSE)))</f>
        <v>1</v>
      </c>
      <c r="BA10" s="170" t="str">
        <f>IF(ISNA(VLOOKUP($AW10,Fielding!$B$5:$H$79,5,FALSE)),0,(VLOOKUP($AW10,Fielding!$B$5:$H$79,5,FALSE)))</f>
        <v>0</v>
      </c>
      <c r="BC10" s="178">
        <f>IF(ISNA(VLOOKUP($AW10,Fielding!$B$5:$H$79,7,FALSE)),0,(VLOOKUP($AW10,Fielding!$B$5:$H$79,7,FALSE)))</f>
        <v>68</v>
      </c>
    </row>
    <row r="11" spans="1:55" ht="13.5" customHeight="1" x14ac:dyDescent="0.2">
      <c r="A11" s="119"/>
      <c r="B11" s="157">
        <f t="shared" si="14"/>
        <v>8</v>
      </c>
      <c r="C11" s="158" t="s">
        <v>215</v>
      </c>
      <c r="D11" s="159" t="s">
        <v>189</v>
      </c>
      <c r="E11" s="160">
        <f t="shared" si="15"/>
        <v>2</v>
      </c>
      <c r="F11" s="161">
        <f t="shared" si="16"/>
        <v>41</v>
      </c>
      <c r="G11" s="162">
        <f t="shared" si="17"/>
        <v>48</v>
      </c>
      <c r="H11" s="161">
        <f t="shared" si="18"/>
        <v>48.2</v>
      </c>
      <c r="I11" s="162">
        <f t="shared" si="19"/>
        <v>3</v>
      </c>
      <c r="J11" s="161">
        <f t="shared" si="20"/>
        <v>16</v>
      </c>
      <c r="K11" s="162">
        <f t="shared" si="21"/>
        <v>2</v>
      </c>
      <c r="L11" s="117"/>
      <c r="M11" s="163">
        <f t="shared" si="22"/>
        <v>105.2</v>
      </c>
      <c r="N11" s="164">
        <f t="shared" si="28"/>
        <v>52.6</v>
      </c>
      <c r="P11" s="116"/>
      <c r="Q11" s="158" t="str">
        <f t="shared" si="23"/>
        <v>McLOGHLIN, Mick</v>
      </c>
      <c r="R11" s="159" t="str">
        <f t="shared" si="24"/>
        <v>(AUS)</v>
      </c>
      <c r="S11" s="170">
        <f>IF(ISNA(VLOOKUP($Q11,Batting!$B$5:$M$103,3,FALSE)),0,(VLOOKUP($Q11,Batting!$B$5:$M$103,3,FALSE)))</f>
        <v>2</v>
      </c>
      <c r="T11" s="171">
        <f>IF(ISNA(VLOOKUP($Q11,Batting!$B$5:$M$103,4,FALSE)),0,(VLOOKUP($Q11,Batting!$B$5:$M$103,4,FALSE)))</f>
        <v>2</v>
      </c>
      <c r="U11" s="171">
        <f>IF(ISNA(VLOOKUP($Q11,Batting!$B$5:$M$103,5,FALSE)),0,(VLOOKUP($Q11,Batting!$B$5:$M$103,5,FALSE)))</f>
        <v>1</v>
      </c>
      <c r="V11" s="171">
        <f>IF(ISNA(VLOOKUP($Q11,Batting!$B$5:$M$103,6,FALSE)),0,(VLOOKUP($Q11,Batting!$B$5:$M$103,6,FALSE)))</f>
        <v>48</v>
      </c>
      <c r="W11" s="172">
        <f>IF(ISNA(VLOOKUP($Q11,Batting!$B$5:$M$103,7,FALSE)),0,(VLOOKUP($Q11,Batting!$B$5:$M$103,7,FALSE)))</f>
        <v>48</v>
      </c>
      <c r="X11" s="171">
        <f>IF(ISNA(VLOOKUP($Q11,Batting!$B$5:$M$103,8,FALSE)),0,(VLOOKUP($Q11,Batting!$B$5:$M$103,8,FALSE)))</f>
        <v>0</v>
      </c>
      <c r="Y11" s="173">
        <f>IF(ISNA(VLOOKUP($Q11,Batting!$B$5:$M$103,9,FALSE)),0,(VLOOKUP($Q11,Batting!$B$5:$M$103,9,FALSE)))</f>
        <v>48</v>
      </c>
      <c r="Z11" s="194" t="str">
        <f>IF(ISNA(VLOOKUP($Q11,Batting!$B$5:$M$103,10,FALSE)),"",(VLOOKUP($Q11,Batting!$B$5:$M$103,10,FALSE)))</f>
        <v/>
      </c>
      <c r="AA11" s="121"/>
      <c r="AB11" s="174">
        <f>IF(ISNA(VLOOKUP($Q11,Batting!$B$5:$M$103,12,FALSE)),0,(VLOOKUP($Q11,Batting!$B$5:$M$103,12,FALSE)))</f>
        <v>41</v>
      </c>
      <c r="AD11" s="158" t="str">
        <f t="shared" si="25"/>
        <v>McLOGHLIN, Mick</v>
      </c>
      <c r="AE11" s="159" t="str">
        <f t="shared" si="26"/>
        <v>(AUS)</v>
      </c>
      <c r="AF11" s="170">
        <f>IF(ISNA(VLOOKUP($AD11,Bowling!$B$4:$S$36,3,FALSE)),0,(VLOOKUP($AD11,Bowling!$B$4:$S$36,3,FALSE)))</f>
        <v>2</v>
      </c>
      <c r="AG11" s="171">
        <f>IF(ISNA(VLOOKUP($AD11,Bowling!$B$4:$S$36,4,FALSE)),0,(VLOOKUP($AD11,Bowling!$B$4:$S$36,4,FALSE)))</f>
        <v>2</v>
      </c>
      <c r="AH11" s="175">
        <f>IF(ISNA(VLOOKUP($AD11,Bowling!$B$4:$S$36,5,FALSE)),0,(VLOOKUP($AD11,Bowling!$B$4:$S$36,5,FALSE)))</f>
        <v>15.4</v>
      </c>
      <c r="AI11" s="176">
        <f>IF(ISNA(VLOOKUP($AD11,Bowling!$B$4:$S$36,6,FALSE)),0,(VLOOKUP($AD11,Bowling!$B$4:$S$36,6,FALSE)))</f>
        <v>3</v>
      </c>
      <c r="AJ11" s="176">
        <f>IF(ISNA(VLOOKUP($AD11,Bowling!$B$4:$S$36,7,FALSE)),0,(VLOOKUP($AD11,Bowling!$B$4:$S$36,7,FALSE)))</f>
        <v>59</v>
      </c>
      <c r="AK11" s="176">
        <f>IF(ISNA(VLOOKUP($AD11,Bowling!$B$4:$S$36,8,FALSE)),0,(VLOOKUP($AD11,Bowling!$B$4:$S$36,8,FALSE)))</f>
        <v>3</v>
      </c>
      <c r="AL11" s="175">
        <f>IF(ISNA(VLOOKUP($AD11,Bowling!$B$4:$S$36,9,FALSE)),0,(VLOOKUP($AD11,Bowling!$B$4:$S$36,9,FALSE)))</f>
        <v>5.1333333333333337</v>
      </c>
      <c r="AM11" s="175">
        <f>IF(ISNA(VLOOKUP($AD11,Bowling!$B$4:$S$36,10,FALSE)),0,(VLOOKUP($AD11,Bowling!$B$4:$S$36,10,FALSE)))</f>
        <v>3.831168831168831</v>
      </c>
      <c r="AN11" s="175">
        <f>IF(ISNA(VLOOKUP($AD11,Bowling!$B$4:$S$36,11,FALSE)),0,(VLOOKUP($AD11,Bowling!$B$4:$S$36,11,FALSE)))</f>
        <v>19.666666666666668</v>
      </c>
      <c r="AO11" s="134"/>
      <c r="AP11" s="170">
        <f>IF(ISNA(VLOOKUP($AD11,Bowling!$B$4:$S$36,13,FALSE)),0,(VLOOKUP($AD11,Bowling!$B$4:$S$36,13,FALSE)))</f>
        <v>0</v>
      </c>
      <c r="AQ11" s="170">
        <f>IF(ISNA(VLOOKUP($AD11,Bowling!$B$4:$S$36,14,FALSE)),0,(VLOOKUP($AD11,Bowling!$B$4:$S$36,14,FALSE)))</f>
        <v>0</v>
      </c>
      <c r="AR11" s="170">
        <f>IF(ISNA(VLOOKUP($AD11,Bowling!$B$4:$S$36,15,FALSE)),0,(VLOOKUP($AD11,Bowling!$B$4:$S$36,15,FALSE)))</f>
        <v>0</v>
      </c>
      <c r="AS11" s="170">
        <f>IF(ISNA(VLOOKUP($AD11,Bowling!$B$4:$S$36,16,FALSE)),0,(VLOOKUP($AD11,Bowling!$B$4:$S$36,16,FALSE)))</f>
        <v>0</v>
      </c>
      <c r="AT11" s="124"/>
      <c r="AU11" s="177">
        <f>IF(ISNA(VLOOKUP($AD11,Bowling!$B$4:$S$36,18,FALSE)),0,(VLOOKUP($AD11,Bowling!$B$4:$S$36,18,FALSE)))</f>
        <v>48.2</v>
      </c>
      <c r="AW11" s="158" t="str">
        <f t="shared" ref="AW11:AW35" si="29">+C11</f>
        <v>McLOGHLIN, Mick</v>
      </c>
      <c r="AX11" s="159" t="str">
        <f t="shared" si="27"/>
        <v>(AUS)</v>
      </c>
      <c r="AY11" s="170">
        <f>IF(ISNA(VLOOKUP($AW11,Fielding!$B$5:$H$79,3,FALSE)),0,(VLOOKUP($AW11,Fielding!$B$5:$H$79,3,FALSE)))</f>
        <v>2</v>
      </c>
      <c r="AZ11" s="170" t="str">
        <f>IF(ISNA(VLOOKUP($AW11,Fielding!$B$5:$H$79,4,FALSE)),0,(VLOOKUP($AW11,Fielding!$B$5:$H$79,4,FALSE)))</f>
        <v>0</v>
      </c>
      <c r="BA11" s="170" t="str">
        <f>IF(ISNA(VLOOKUP($AW11,Fielding!$B$5:$H$79,5,FALSE)),0,(VLOOKUP($AW11,Fielding!$B$5:$H$79,5,FALSE)))</f>
        <v>0</v>
      </c>
      <c r="BC11" s="178">
        <f>IF(ISNA(VLOOKUP($AW11,Fielding!$B$5:$H$79,7,FALSE)),0,(VLOOKUP($AW11,Fielding!$B$5:$H$79,7,FALSE)))</f>
        <v>16</v>
      </c>
    </row>
    <row r="12" spans="1:55" ht="13.5" customHeight="1" x14ac:dyDescent="0.2">
      <c r="A12" s="119"/>
      <c r="B12" s="157">
        <f t="shared" si="14"/>
        <v>9</v>
      </c>
      <c r="C12" s="158" t="s">
        <v>282</v>
      </c>
      <c r="D12" s="159" t="s">
        <v>222</v>
      </c>
      <c r="E12" s="160">
        <f t="shared" si="15"/>
        <v>6</v>
      </c>
      <c r="F12" s="161">
        <f t="shared" si="16"/>
        <v>22</v>
      </c>
      <c r="G12" s="162">
        <f t="shared" si="17"/>
        <v>50</v>
      </c>
      <c r="H12" s="161">
        <f t="shared" si="18"/>
        <v>49.4</v>
      </c>
      <c r="I12" s="162">
        <f t="shared" si="19"/>
        <v>4</v>
      </c>
      <c r="J12" s="161">
        <f t="shared" si="20"/>
        <v>24</v>
      </c>
      <c r="K12" s="162">
        <f t="shared" si="21"/>
        <v>3</v>
      </c>
      <c r="L12" s="117"/>
      <c r="M12" s="163">
        <f t="shared" si="22"/>
        <v>95.4</v>
      </c>
      <c r="N12" s="164">
        <f t="shared" si="28"/>
        <v>15.9</v>
      </c>
      <c r="P12" s="124"/>
      <c r="Q12" s="158" t="str">
        <f t="shared" si="23"/>
        <v>NIAZ, Bilal</v>
      </c>
      <c r="R12" s="159" t="str">
        <f t="shared" si="24"/>
        <v>(PAK)</v>
      </c>
      <c r="S12" s="170">
        <f>IF(ISNA(VLOOKUP($Q12,Batting!$B$5:$M$103,3,FALSE)),0,(VLOOKUP($Q12,Batting!$B$5:$M$103,3,FALSE)))</f>
        <v>6</v>
      </c>
      <c r="T12" s="171">
        <f>IF(ISNA(VLOOKUP($Q12,Batting!$B$5:$M$103,4,FALSE)),0,(VLOOKUP($Q12,Batting!$B$5:$M$103,4,FALSE)))</f>
        <v>5</v>
      </c>
      <c r="U12" s="171">
        <f>IF(ISNA(VLOOKUP($Q12,Batting!$B$5:$M$103,5,FALSE)),0,(VLOOKUP($Q12,Batting!$B$5:$M$103,5,FALSE)))</f>
        <v>1</v>
      </c>
      <c r="V12" s="171">
        <f>IF(ISNA(VLOOKUP($Q12,Batting!$B$5:$M$103,6,FALSE)),0,(VLOOKUP($Q12,Batting!$B$5:$M$103,6,FALSE)))</f>
        <v>50</v>
      </c>
      <c r="W12" s="172">
        <f>IF(ISNA(VLOOKUP($Q12,Batting!$B$5:$M$103,7,FALSE)),0,(VLOOKUP($Q12,Batting!$B$5:$M$103,7,FALSE)))</f>
        <v>29</v>
      </c>
      <c r="X12" s="171">
        <f>IF(ISNA(VLOOKUP($Q12,Batting!$B$5:$M$103,8,FALSE)),0,(VLOOKUP($Q12,Batting!$B$5:$M$103,8,FALSE)))</f>
        <v>0</v>
      </c>
      <c r="Y12" s="173">
        <f>IF(ISNA(VLOOKUP($Q12,Batting!$B$5:$M$103,9,FALSE)),0,(VLOOKUP($Q12,Batting!$B$5:$M$103,9,FALSE)))</f>
        <v>12.5</v>
      </c>
      <c r="Z12" s="194" t="str">
        <f>IF(ISNA(VLOOKUP($Q12,Batting!$B$5:$M$103,10,FALSE)),"",(VLOOKUP($Q12,Batting!$B$5:$M$103,10,FALSE)))</f>
        <v/>
      </c>
      <c r="AA12" s="121"/>
      <c r="AB12" s="174">
        <f>IF(ISNA(VLOOKUP($Q12,Batting!$B$5:$M$103,12,FALSE)),0,(VLOOKUP($Q12,Batting!$B$5:$M$103,12,FALSE)))</f>
        <v>22</v>
      </c>
      <c r="AD12" s="158" t="str">
        <f t="shared" si="25"/>
        <v>NIAZ, Bilal</v>
      </c>
      <c r="AE12" s="159" t="str">
        <f t="shared" si="26"/>
        <v>(PAK)</v>
      </c>
      <c r="AF12" s="170">
        <f>IF(ISNA(VLOOKUP($AD12,Bowling!$B$4:$S$36,3,FALSE)),0,(VLOOKUP($AD12,Bowling!$B$4:$S$36,3,FALSE)))</f>
        <v>6</v>
      </c>
      <c r="AG12" s="171">
        <f>IF(ISNA(VLOOKUP($AD12,Bowling!$B$4:$S$36,4,FALSE)),0,(VLOOKUP($AD12,Bowling!$B$4:$S$36,4,FALSE)))</f>
        <v>5</v>
      </c>
      <c r="AH12" s="175">
        <f>IF(ISNA(VLOOKUP($AD12,Bowling!$B$4:$S$36,5,FALSE)),0,(VLOOKUP($AD12,Bowling!$B$4:$S$36,5,FALSE)))</f>
        <v>27</v>
      </c>
      <c r="AI12" s="176">
        <f>IF(ISNA(VLOOKUP($AD12,Bowling!$B$4:$S$36,6,FALSE)),0,(VLOOKUP($AD12,Bowling!$B$4:$S$36,6,FALSE)))</f>
        <v>2</v>
      </c>
      <c r="AJ12" s="176">
        <f>IF(ISNA(VLOOKUP($AD12,Bowling!$B$4:$S$36,7,FALSE)),0,(VLOOKUP($AD12,Bowling!$B$4:$S$36,7,FALSE)))</f>
        <v>153</v>
      </c>
      <c r="AK12" s="176">
        <f>IF(ISNA(VLOOKUP($AD12,Bowling!$B$4:$S$36,8,FALSE)),0,(VLOOKUP($AD12,Bowling!$B$4:$S$36,8,FALSE)))</f>
        <v>4</v>
      </c>
      <c r="AL12" s="175">
        <f>IF(ISNA(VLOOKUP($AD12,Bowling!$B$4:$S$36,9,FALSE)),0,(VLOOKUP($AD12,Bowling!$B$4:$S$36,9,FALSE)))</f>
        <v>6.75</v>
      </c>
      <c r="AM12" s="175">
        <f>IF(ISNA(VLOOKUP($AD12,Bowling!$B$4:$S$36,10,FALSE)),0,(VLOOKUP($AD12,Bowling!$B$4:$S$36,10,FALSE)))</f>
        <v>5.666666666666667</v>
      </c>
      <c r="AN12" s="175">
        <f>IF(ISNA(VLOOKUP($AD12,Bowling!$B$4:$S$36,11,FALSE)),0,(VLOOKUP($AD12,Bowling!$B$4:$S$36,11,FALSE)))</f>
        <v>38.25</v>
      </c>
      <c r="AO12" s="134"/>
      <c r="AP12" s="170">
        <f>IF(ISNA(VLOOKUP($AD12,Bowling!$B$4:$S$36,13,FALSE)),0,(VLOOKUP($AD12,Bowling!$B$4:$S$36,13,FALSE)))</f>
        <v>0</v>
      </c>
      <c r="AQ12" s="170">
        <f>IF(ISNA(VLOOKUP($AD12,Bowling!$B$4:$S$36,14,FALSE)),0,(VLOOKUP($AD12,Bowling!$B$4:$S$36,14,FALSE)))</f>
        <v>0</v>
      </c>
      <c r="AR12" s="170">
        <f>IF(ISNA(VLOOKUP($AD12,Bowling!$B$4:$S$36,15,FALSE)),0,(VLOOKUP($AD12,Bowling!$B$4:$S$36,15,FALSE)))</f>
        <v>0</v>
      </c>
      <c r="AS12" s="170">
        <f>IF(ISNA(VLOOKUP($AD12,Bowling!$B$4:$S$36,16,FALSE)),0,(VLOOKUP($AD12,Bowling!$B$4:$S$36,16,FALSE)))</f>
        <v>0</v>
      </c>
      <c r="AT12" s="124"/>
      <c r="AU12" s="177">
        <f>IF(ISNA(VLOOKUP($AD12,Bowling!$B$4:$S$36,18,FALSE)),0,(VLOOKUP($AD12,Bowling!$B$4:$S$36,18,FALSE)))</f>
        <v>49.4</v>
      </c>
      <c r="AW12" s="158" t="str">
        <f t="shared" si="29"/>
        <v>NIAZ, Bilal</v>
      </c>
      <c r="AX12" s="159" t="str">
        <f t="shared" si="27"/>
        <v>(PAK)</v>
      </c>
      <c r="AY12" s="170">
        <f>IF(ISNA(VLOOKUP($AW12,Fielding!$B$5:$H$79,3,FALSE)),0,(VLOOKUP($AW12,Fielding!$B$5:$H$79,3,FALSE)))</f>
        <v>3</v>
      </c>
      <c r="AZ12" s="170" t="str">
        <f>IF(ISNA(VLOOKUP($AW12,Fielding!$B$5:$H$79,4,FALSE)),0,(VLOOKUP($AW12,Fielding!$B$5:$H$79,4,FALSE)))</f>
        <v>0</v>
      </c>
      <c r="BA12" s="170" t="str">
        <f>IF(ISNA(VLOOKUP($AW12,Fielding!$B$5:$H$79,5,FALSE)),0,(VLOOKUP($AW12,Fielding!$B$5:$H$79,5,FALSE)))</f>
        <v>0</v>
      </c>
      <c r="BC12" s="178">
        <f>IF(ISNA(VLOOKUP($AW12,Fielding!$B$5:$H$79,7,FALSE)),0,(VLOOKUP($AW12,Fielding!$B$5:$H$79,7,FALSE)))</f>
        <v>24</v>
      </c>
    </row>
    <row r="13" spans="1:55" ht="13.5" customHeight="1" x14ac:dyDescent="0.2">
      <c r="A13" s="119"/>
      <c r="B13" s="157">
        <f t="shared" si="14"/>
        <v>10</v>
      </c>
      <c r="C13" s="158" t="s">
        <v>37</v>
      </c>
      <c r="D13" s="159" t="s">
        <v>190</v>
      </c>
      <c r="E13" s="160">
        <f t="shared" si="15"/>
        <v>2</v>
      </c>
      <c r="F13" s="161">
        <f t="shared" si="16"/>
        <v>21</v>
      </c>
      <c r="G13" s="162">
        <f t="shared" si="17"/>
        <v>35</v>
      </c>
      <c r="H13" s="161">
        <f t="shared" si="18"/>
        <v>48.2</v>
      </c>
      <c r="I13" s="162">
        <f t="shared" si="19"/>
        <v>3</v>
      </c>
      <c r="J13" s="161">
        <f t="shared" si="20"/>
        <v>0</v>
      </c>
      <c r="K13" s="162" t="str">
        <f t="shared" si="21"/>
        <v/>
      </c>
      <c r="L13" s="117"/>
      <c r="M13" s="163">
        <f t="shared" si="22"/>
        <v>69.2</v>
      </c>
      <c r="N13" s="164">
        <f t="shared" si="28"/>
        <v>34.6</v>
      </c>
      <c r="P13" s="127"/>
      <c r="Q13" s="158" t="str">
        <f t="shared" si="23"/>
        <v>THACKER, Nilesh</v>
      </c>
      <c r="R13" s="159" t="str">
        <f t="shared" si="24"/>
        <v>(IND)</v>
      </c>
      <c r="S13" s="170">
        <f>IF(ISNA(VLOOKUP($Q13,Batting!$B$5:$M$103,3,FALSE)),0,(VLOOKUP($Q13,Batting!$B$5:$M$103,3,FALSE)))</f>
        <v>2</v>
      </c>
      <c r="T13" s="171">
        <f>IF(ISNA(VLOOKUP($Q13,Batting!$B$5:$M$103,4,FALSE)),0,(VLOOKUP($Q13,Batting!$B$5:$M$103,4,FALSE)))</f>
        <v>2</v>
      </c>
      <c r="U13" s="171">
        <f>IF(ISNA(VLOOKUP($Q13,Batting!$B$5:$M$103,5,FALSE)),0,(VLOOKUP($Q13,Batting!$B$5:$M$103,5,FALSE)))</f>
        <v>0</v>
      </c>
      <c r="V13" s="171">
        <f>IF(ISNA(VLOOKUP($Q13,Batting!$B$5:$M$103,6,FALSE)),0,(VLOOKUP($Q13,Batting!$B$5:$M$103,6,FALSE)))</f>
        <v>35</v>
      </c>
      <c r="W13" s="172">
        <f>IF(ISNA(VLOOKUP($Q13,Batting!$B$5:$M$103,7,FALSE)),0,(VLOOKUP($Q13,Batting!$B$5:$M$103,7,FALSE)))</f>
        <v>28</v>
      </c>
      <c r="X13" s="171">
        <f>IF(ISNA(VLOOKUP($Q13,Batting!$B$5:$M$103,8,FALSE)),0,(VLOOKUP($Q13,Batting!$B$5:$M$103,8,FALSE)))</f>
        <v>0</v>
      </c>
      <c r="Y13" s="173">
        <f>IF(ISNA(VLOOKUP($Q13,Batting!$B$5:$M$103,9,FALSE)),0,(VLOOKUP($Q13,Batting!$B$5:$M$103,9,FALSE)))</f>
        <v>17.5</v>
      </c>
      <c r="Z13" s="194" t="str">
        <f>IF(ISNA(VLOOKUP($Q13,Batting!$B$5:$M$103,10,FALSE)),"",(VLOOKUP($Q13,Batting!$B$5:$M$103,10,FALSE)))</f>
        <v/>
      </c>
      <c r="AA13" s="121"/>
      <c r="AB13" s="174">
        <f>IF(ISNA(VLOOKUP($Q13,Batting!$B$5:$M$103,12,FALSE)),0,(VLOOKUP($Q13,Batting!$B$5:$M$103,12,FALSE)))</f>
        <v>21</v>
      </c>
      <c r="AD13" s="158" t="str">
        <f t="shared" si="25"/>
        <v>THACKER, Nilesh</v>
      </c>
      <c r="AE13" s="159" t="str">
        <f t="shared" si="26"/>
        <v>(IND)</v>
      </c>
      <c r="AF13" s="170">
        <f>IF(ISNA(VLOOKUP($AD13,Bowling!$B$4:$S$36,3,FALSE)),0,(VLOOKUP($AD13,Bowling!$B$4:$S$36,3,FALSE)))</f>
        <v>2</v>
      </c>
      <c r="AG13" s="171">
        <f>IF(ISNA(VLOOKUP($AD13,Bowling!$B$4:$S$36,4,FALSE)),0,(VLOOKUP($AD13,Bowling!$B$4:$S$36,4,FALSE)))</f>
        <v>2</v>
      </c>
      <c r="AH13" s="175">
        <f>IF(ISNA(VLOOKUP($AD13,Bowling!$B$4:$S$36,5,FALSE)),0,(VLOOKUP($AD13,Bowling!$B$4:$S$36,5,FALSE)))</f>
        <v>14</v>
      </c>
      <c r="AI13" s="176">
        <f>IF(ISNA(VLOOKUP($AD13,Bowling!$B$4:$S$36,6,FALSE)),0,(VLOOKUP($AD13,Bowling!$B$4:$S$36,6,FALSE)))</f>
        <v>2</v>
      </c>
      <c r="AJ13" s="176">
        <f>IF(ISNA(VLOOKUP($AD13,Bowling!$B$4:$S$36,7,FALSE)),0,(VLOOKUP($AD13,Bowling!$B$4:$S$36,7,FALSE)))</f>
        <v>59</v>
      </c>
      <c r="AK13" s="176">
        <f>IF(ISNA(VLOOKUP($AD13,Bowling!$B$4:$S$36,8,FALSE)),0,(VLOOKUP($AD13,Bowling!$B$4:$S$36,8,FALSE)))</f>
        <v>3</v>
      </c>
      <c r="AL13" s="175">
        <f>IF(ISNA(VLOOKUP($AD13,Bowling!$B$4:$S$36,9,FALSE)),0,(VLOOKUP($AD13,Bowling!$B$4:$S$36,9,FALSE)))</f>
        <v>4.666666666666667</v>
      </c>
      <c r="AM13" s="175">
        <f>IF(ISNA(VLOOKUP($AD13,Bowling!$B$4:$S$36,10,FALSE)),0,(VLOOKUP($AD13,Bowling!$B$4:$S$36,10,FALSE)))</f>
        <v>4.2142857142857144</v>
      </c>
      <c r="AN13" s="175">
        <f>IF(ISNA(VLOOKUP($AD13,Bowling!$B$4:$S$36,11,FALSE)),0,(VLOOKUP($AD13,Bowling!$B$4:$S$36,11,FALSE)))</f>
        <v>19.666666666666668</v>
      </c>
      <c r="AO13" s="134"/>
      <c r="AP13" s="170">
        <f>IF(ISNA(VLOOKUP($AD13,Bowling!$B$4:$S$36,13,FALSE)),0,(VLOOKUP($AD13,Bowling!$B$4:$S$36,13,FALSE)))</f>
        <v>0</v>
      </c>
      <c r="AQ13" s="170">
        <f>IF(ISNA(VLOOKUP($AD13,Bowling!$B$4:$S$36,14,FALSE)),0,(VLOOKUP($AD13,Bowling!$B$4:$S$36,14,FALSE)))</f>
        <v>0</v>
      </c>
      <c r="AR13" s="170">
        <f>IF(ISNA(VLOOKUP($AD13,Bowling!$B$4:$S$36,15,FALSE)),0,(VLOOKUP($AD13,Bowling!$B$4:$S$36,15,FALSE)))</f>
        <v>0</v>
      </c>
      <c r="AS13" s="170">
        <f>IF(ISNA(VLOOKUP($AD13,Bowling!$B$4:$S$36,16,FALSE)),0,(VLOOKUP($AD13,Bowling!$B$4:$S$36,16,FALSE)))</f>
        <v>0</v>
      </c>
      <c r="AT13" s="124"/>
      <c r="AU13" s="177">
        <f>IF(ISNA(VLOOKUP($AD13,Bowling!$B$4:$S$36,18,FALSE)),0,(VLOOKUP($AD13,Bowling!$B$4:$S$36,18,FALSE)))</f>
        <v>48.2</v>
      </c>
      <c r="AW13" s="158" t="str">
        <f t="shared" si="29"/>
        <v>THACKER, Nilesh</v>
      </c>
      <c r="AX13" s="159" t="str">
        <f t="shared" si="27"/>
        <v>(IND)</v>
      </c>
      <c r="AY13" s="170">
        <f>IF(ISNA(VLOOKUP($AW13,Fielding!$B$5:$H$79,3,FALSE)),0,(VLOOKUP($AW13,Fielding!$B$5:$H$79,3,FALSE)))</f>
        <v>0</v>
      </c>
      <c r="AZ13" s="170">
        <f>IF(ISNA(VLOOKUP($AW13,Fielding!$B$5:$H$79,4,FALSE)),0,(VLOOKUP($AW13,Fielding!$B$5:$H$79,4,FALSE)))</f>
        <v>0</v>
      </c>
      <c r="BA13" s="170">
        <f>IF(ISNA(VLOOKUP($AW13,Fielding!$B$5:$H$79,5,FALSE)),0,(VLOOKUP($AW13,Fielding!$B$5:$H$79,5,FALSE)))</f>
        <v>0</v>
      </c>
      <c r="BC13" s="178">
        <f>IF(ISNA(VLOOKUP($AW13,Fielding!$B$5:$H$79,7,FALSE)),0,(VLOOKUP($AW13,Fielding!$B$5:$H$79,7,FALSE)))</f>
        <v>0</v>
      </c>
    </row>
    <row r="14" spans="1:55" ht="13.5" customHeight="1" x14ac:dyDescent="0.2">
      <c r="A14" s="119"/>
      <c r="B14" s="157">
        <f t="shared" si="14"/>
        <v>11</v>
      </c>
      <c r="C14" s="158" t="s">
        <v>283</v>
      </c>
      <c r="D14" s="159" t="s">
        <v>188</v>
      </c>
      <c r="E14" s="160">
        <f t="shared" si="15"/>
        <v>2</v>
      </c>
      <c r="F14" s="161">
        <f t="shared" si="16"/>
        <v>22</v>
      </c>
      <c r="G14" s="162">
        <f t="shared" si="17"/>
        <v>29</v>
      </c>
      <c r="H14" s="161">
        <f t="shared" si="18"/>
        <v>44.4</v>
      </c>
      <c r="I14" s="162">
        <f t="shared" si="19"/>
        <v>3</v>
      </c>
      <c r="J14" s="161">
        <f t="shared" si="20"/>
        <v>0</v>
      </c>
      <c r="K14" s="162" t="str">
        <f t="shared" si="21"/>
        <v/>
      </c>
      <c r="L14" s="117"/>
      <c r="M14" s="163">
        <f t="shared" si="22"/>
        <v>66.400000000000006</v>
      </c>
      <c r="N14" s="164">
        <f t="shared" si="28"/>
        <v>33.200000000000003</v>
      </c>
      <c r="P14" s="116"/>
      <c r="Q14" s="158" t="str">
        <f t="shared" si="23"/>
        <v>RONALDSON, Jamie</v>
      </c>
      <c r="R14" s="159" t="str">
        <f t="shared" si="24"/>
        <v>(NZ)</v>
      </c>
      <c r="S14" s="170">
        <f>IF(ISNA(VLOOKUP($Q14,Batting!$B$5:$M$103,3,FALSE)),0,(VLOOKUP($Q14,Batting!$B$5:$M$103,3,FALSE)))</f>
        <v>2</v>
      </c>
      <c r="T14" s="171">
        <f>IF(ISNA(VLOOKUP($Q14,Batting!$B$5:$M$103,4,FALSE)),0,(VLOOKUP($Q14,Batting!$B$5:$M$103,4,FALSE)))</f>
        <v>1</v>
      </c>
      <c r="U14" s="171">
        <f>IF(ISNA(VLOOKUP($Q14,Batting!$B$5:$M$103,5,FALSE)),0,(VLOOKUP($Q14,Batting!$B$5:$M$103,5,FALSE)))</f>
        <v>0</v>
      </c>
      <c r="V14" s="171">
        <f>IF(ISNA(VLOOKUP($Q14,Batting!$B$5:$M$103,6,FALSE)),0,(VLOOKUP($Q14,Batting!$B$5:$M$103,6,FALSE)))</f>
        <v>29</v>
      </c>
      <c r="W14" s="172">
        <f>IF(ISNA(VLOOKUP($Q14,Batting!$B$5:$M$103,7,FALSE)),0,(VLOOKUP($Q14,Batting!$B$5:$M$103,7,FALSE)))</f>
        <v>29</v>
      </c>
      <c r="X14" s="171">
        <f>IF(ISNA(VLOOKUP($Q14,Batting!$B$5:$M$103,8,FALSE)),0,(VLOOKUP($Q14,Batting!$B$5:$M$103,8,FALSE)))</f>
        <v>0</v>
      </c>
      <c r="Y14" s="173">
        <f>IF(ISNA(VLOOKUP($Q14,Batting!$B$5:$M$103,9,FALSE)),0,(VLOOKUP($Q14,Batting!$B$5:$M$103,9,FALSE)))</f>
        <v>29</v>
      </c>
      <c r="Z14" s="194" t="str">
        <f>IF(ISNA(VLOOKUP($Q14,Batting!$B$5:$M$103,10,FALSE)),"",(VLOOKUP($Q14,Batting!$B$5:$M$103,10,FALSE)))</f>
        <v/>
      </c>
      <c r="AA14" s="121"/>
      <c r="AB14" s="174">
        <f>IF(ISNA(VLOOKUP($Q14,Batting!$B$5:$M$103,12,FALSE)),0,(VLOOKUP($Q14,Batting!$B$5:$M$103,12,FALSE)))</f>
        <v>22</v>
      </c>
      <c r="AD14" s="158" t="str">
        <f t="shared" si="25"/>
        <v>RONALDSON, Jamie</v>
      </c>
      <c r="AE14" s="159" t="str">
        <f t="shared" si="26"/>
        <v>(NZ)</v>
      </c>
      <c r="AF14" s="170">
        <f>IF(ISNA(VLOOKUP($AD14,Bowling!$B$4:$S$36,3,FALSE)),0,(VLOOKUP($AD14,Bowling!$B$4:$S$36,3,FALSE)))</f>
        <v>2</v>
      </c>
      <c r="AG14" s="171">
        <f>IF(ISNA(VLOOKUP($AD14,Bowling!$B$4:$S$36,4,FALSE)),0,(VLOOKUP($AD14,Bowling!$B$4:$S$36,4,FALSE)))</f>
        <v>2</v>
      </c>
      <c r="AH14" s="175">
        <f>IF(ISNA(VLOOKUP($AD14,Bowling!$B$4:$S$36,5,FALSE)),0,(VLOOKUP($AD14,Bowling!$B$4:$S$36,5,FALSE)))</f>
        <v>12.5</v>
      </c>
      <c r="AI14" s="176">
        <f>IF(ISNA(VLOOKUP($AD14,Bowling!$B$4:$S$36,6,FALSE)),0,(VLOOKUP($AD14,Bowling!$B$4:$S$36,6,FALSE)))</f>
        <v>0</v>
      </c>
      <c r="AJ14" s="176">
        <f>IF(ISNA(VLOOKUP($AD14,Bowling!$B$4:$S$36,7,FALSE)),0,(VLOOKUP($AD14,Bowling!$B$4:$S$36,7,FALSE)))</f>
        <v>78</v>
      </c>
      <c r="AK14" s="176">
        <f>IF(ISNA(VLOOKUP($AD14,Bowling!$B$4:$S$36,8,FALSE)),0,(VLOOKUP($AD14,Bowling!$B$4:$S$36,8,FALSE)))</f>
        <v>3</v>
      </c>
      <c r="AL14" s="175">
        <f>IF(ISNA(VLOOKUP($AD14,Bowling!$B$4:$S$36,9,FALSE)),0,(VLOOKUP($AD14,Bowling!$B$4:$S$36,9,FALSE)))</f>
        <v>4.166666666666667</v>
      </c>
      <c r="AM14" s="175">
        <f>IF(ISNA(VLOOKUP($AD14,Bowling!$B$4:$S$36,10,FALSE)),0,(VLOOKUP($AD14,Bowling!$B$4:$S$36,10,FALSE)))</f>
        <v>6.24</v>
      </c>
      <c r="AN14" s="175">
        <f>IF(ISNA(VLOOKUP($AD14,Bowling!$B$4:$S$36,11,FALSE)),0,(VLOOKUP($AD14,Bowling!$B$4:$S$36,11,FALSE)))</f>
        <v>26</v>
      </c>
      <c r="AO14" s="134"/>
      <c r="AP14" s="170">
        <f>IF(ISNA(VLOOKUP($AD14,Bowling!$B$4:$S$36,13,FALSE)),0,(VLOOKUP($AD14,Bowling!$B$4:$S$36,13,FALSE)))</f>
        <v>0</v>
      </c>
      <c r="AQ14" s="170">
        <f>IF(ISNA(VLOOKUP($AD14,Bowling!$B$4:$S$36,14,FALSE)),0,(VLOOKUP($AD14,Bowling!$B$4:$S$36,14,FALSE)))</f>
        <v>0</v>
      </c>
      <c r="AR14" s="170">
        <f>IF(ISNA(VLOOKUP($AD14,Bowling!$B$4:$S$36,15,FALSE)),0,(VLOOKUP($AD14,Bowling!$B$4:$S$36,15,FALSE)))</f>
        <v>0</v>
      </c>
      <c r="AS14" s="170">
        <f>IF(ISNA(VLOOKUP($AD14,Bowling!$B$4:$S$36,16,FALSE)),0,(VLOOKUP($AD14,Bowling!$B$4:$S$36,16,FALSE)))</f>
        <v>0</v>
      </c>
      <c r="AT14" s="124"/>
      <c r="AU14" s="177">
        <f>IF(ISNA(VLOOKUP($AD14,Bowling!$B$4:$S$36,18,FALSE)),0,(VLOOKUP($AD14,Bowling!$B$4:$S$36,18,FALSE)))</f>
        <v>44.4</v>
      </c>
      <c r="AW14" s="158" t="str">
        <f t="shared" si="29"/>
        <v>RONALDSON, Jamie</v>
      </c>
      <c r="AX14" s="159" t="str">
        <f t="shared" si="27"/>
        <v>(NZ)</v>
      </c>
      <c r="AY14" s="170">
        <f>IF(ISNA(VLOOKUP($AW14,Fielding!$B$5:$H$79,3,FALSE)),0,(VLOOKUP($AW14,Fielding!$B$5:$H$79,3,FALSE)))</f>
        <v>0</v>
      </c>
      <c r="AZ14" s="170">
        <f>IF(ISNA(VLOOKUP($AW14,Fielding!$B$5:$H$79,4,FALSE)),0,(VLOOKUP($AW14,Fielding!$B$5:$H$79,4,FALSE)))</f>
        <v>0</v>
      </c>
      <c r="BA14" s="170">
        <f>IF(ISNA(VLOOKUP($AW14,Fielding!$B$5:$H$79,5,FALSE)),0,(VLOOKUP($AW14,Fielding!$B$5:$H$79,5,FALSE)))</f>
        <v>0</v>
      </c>
      <c r="BC14" s="178">
        <f>IF(ISNA(VLOOKUP($AW14,Fielding!$B$5:$H$79,7,FALSE)),0,(VLOOKUP($AW14,Fielding!$B$5:$H$79,7,FALSE)))</f>
        <v>0</v>
      </c>
    </row>
    <row r="15" spans="1:55" ht="13.5" customHeight="1" x14ac:dyDescent="0.2">
      <c r="A15" s="119"/>
      <c r="B15" s="157">
        <f t="shared" si="14"/>
        <v>12</v>
      </c>
      <c r="C15" s="158" t="s">
        <v>269</v>
      </c>
      <c r="D15" s="159" t="s">
        <v>189</v>
      </c>
      <c r="E15" s="160">
        <f t="shared" si="15"/>
        <v>7</v>
      </c>
      <c r="F15" s="161">
        <f t="shared" si="16"/>
        <v>32</v>
      </c>
      <c r="G15" s="162">
        <f t="shared" si="17"/>
        <v>74</v>
      </c>
      <c r="H15" s="161">
        <f t="shared" si="18"/>
        <v>32.200000000000003</v>
      </c>
      <c r="I15" s="162">
        <f t="shared" si="19"/>
        <v>2</v>
      </c>
      <c r="J15" s="161">
        <f t="shared" si="20"/>
        <v>24</v>
      </c>
      <c r="K15" s="162">
        <f t="shared" si="21"/>
        <v>3</v>
      </c>
      <c r="L15" s="117"/>
      <c r="M15" s="163">
        <f t="shared" si="22"/>
        <v>88.2</v>
      </c>
      <c r="N15" s="164">
        <f t="shared" si="28"/>
        <v>12.6</v>
      </c>
      <c r="P15" s="116"/>
      <c r="Q15" s="158" t="str">
        <f t="shared" si="23"/>
        <v>BALOCH, Ali</v>
      </c>
      <c r="R15" s="159" t="str">
        <f t="shared" si="24"/>
        <v>(AUS)</v>
      </c>
      <c r="S15" s="170">
        <f>IF(ISNA(VLOOKUP($Q15,Batting!$B$5:$M$103,3,FALSE)),0,(VLOOKUP($Q15,Batting!$B$5:$M$103,3,FALSE)))</f>
        <v>7</v>
      </c>
      <c r="T15" s="171">
        <f>IF(ISNA(VLOOKUP($Q15,Batting!$B$5:$M$103,4,FALSE)),0,(VLOOKUP($Q15,Batting!$B$5:$M$103,4,FALSE)))</f>
        <v>6</v>
      </c>
      <c r="U15" s="171">
        <f>IF(ISNA(VLOOKUP($Q15,Batting!$B$5:$M$103,5,FALSE)),0,(VLOOKUP($Q15,Batting!$B$5:$M$103,5,FALSE)))</f>
        <v>0</v>
      </c>
      <c r="V15" s="171">
        <f>IF(ISNA(VLOOKUP($Q15,Batting!$B$5:$M$103,6,FALSE)),0,(VLOOKUP($Q15,Batting!$B$5:$M$103,6,FALSE)))</f>
        <v>74</v>
      </c>
      <c r="W15" s="172">
        <f>IF(ISNA(VLOOKUP($Q15,Batting!$B$5:$M$103,7,FALSE)),0,(VLOOKUP($Q15,Batting!$B$5:$M$103,7,FALSE)))</f>
        <v>40</v>
      </c>
      <c r="X15" s="171">
        <f>IF(ISNA(VLOOKUP($Q15,Batting!$B$5:$M$103,8,FALSE)),0,(VLOOKUP($Q15,Batting!$B$5:$M$103,8,FALSE)))</f>
        <v>0</v>
      </c>
      <c r="Y15" s="173">
        <f>IF(ISNA(VLOOKUP($Q15,Batting!$B$5:$M$103,9,FALSE)),0,(VLOOKUP($Q15,Batting!$B$5:$M$103,9,FALSE)))</f>
        <v>12.333333333333334</v>
      </c>
      <c r="Z15" s="194" t="str">
        <f>IF(ISNA(VLOOKUP($Q15,Batting!$B$5:$M$103,10,FALSE)),"",(VLOOKUP($Q15,Batting!$B$5:$M$103,10,FALSE)))</f>
        <v/>
      </c>
      <c r="AA15" s="121"/>
      <c r="AB15" s="174">
        <f>IF(ISNA(VLOOKUP($Q15,Batting!$B$5:$M$103,12,FALSE)),0,(VLOOKUP($Q15,Batting!$B$5:$M$103,12,FALSE)))</f>
        <v>32</v>
      </c>
      <c r="AD15" s="158" t="str">
        <f t="shared" si="25"/>
        <v>BALOCH, Ali</v>
      </c>
      <c r="AE15" s="159" t="str">
        <f t="shared" si="26"/>
        <v>(AUS)</v>
      </c>
      <c r="AF15" s="170">
        <f>IF(ISNA(VLOOKUP($AD15,Bowling!$B$4:$S$36,3,FALSE)),0,(VLOOKUP($AD15,Bowling!$B$4:$S$36,3,FALSE)))</f>
        <v>7</v>
      </c>
      <c r="AG15" s="171">
        <f>IF(ISNA(VLOOKUP($AD15,Bowling!$B$4:$S$36,4,FALSE)),0,(VLOOKUP($AD15,Bowling!$B$4:$S$36,4,FALSE)))</f>
        <v>3</v>
      </c>
      <c r="AH15" s="175">
        <f>IF(ISNA(VLOOKUP($AD15,Bowling!$B$4:$S$36,5,FALSE)),0,(VLOOKUP($AD15,Bowling!$B$4:$S$36,5,FALSE)))</f>
        <v>8.3000000000000007</v>
      </c>
      <c r="AI15" s="176">
        <f>IF(ISNA(VLOOKUP($AD15,Bowling!$B$4:$S$36,6,FALSE)),0,(VLOOKUP($AD15,Bowling!$B$4:$S$36,6,FALSE)))</f>
        <v>1</v>
      </c>
      <c r="AJ15" s="176">
        <f>IF(ISNA(VLOOKUP($AD15,Bowling!$B$4:$S$36,7,FALSE)),0,(VLOOKUP($AD15,Bowling!$B$4:$S$36,7,FALSE)))</f>
        <v>39</v>
      </c>
      <c r="AK15" s="176">
        <f>IF(ISNA(VLOOKUP($AD15,Bowling!$B$4:$S$36,8,FALSE)),0,(VLOOKUP($AD15,Bowling!$B$4:$S$36,8,FALSE)))</f>
        <v>2</v>
      </c>
      <c r="AL15" s="175">
        <f>IF(ISNA(VLOOKUP($AD15,Bowling!$B$4:$S$36,9,FALSE)),0,(VLOOKUP($AD15,Bowling!$B$4:$S$36,9,FALSE)))</f>
        <v>4.1500000000000004</v>
      </c>
      <c r="AM15" s="175">
        <f>IF(ISNA(VLOOKUP($AD15,Bowling!$B$4:$S$36,10,FALSE)),0,(VLOOKUP($AD15,Bowling!$B$4:$S$36,10,FALSE)))</f>
        <v>4.6987951807228914</v>
      </c>
      <c r="AN15" s="175">
        <f>IF(ISNA(VLOOKUP($AD15,Bowling!$B$4:$S$36,11,FALSE)),0,(VLOOKUP($AD15,Bowling!$B$4:$S$36,11,FALSE)))</f>
        <v>19.5</v>
      </c>
      <c r="AO15" s="134"/>
      <c r="AP15" s="170">
        <f>IF(ISNA(VLOOKUP($AD15,Bowling!$B$4:$S$36,13,FALSE)),0,(VLOOKUP($AD15,Bowling!$B$4:$S$36,13,FALSE)))</f>
        <v>0</v>
      </c>
      <c r="AQ15" s="170">
        <f>IF(ISNA(VLOOKUP($AD15,Bowling!$B$4:$S$36,14,FALSE)),0,(VLOOKUP($AD15,Bowling!$B$4:$S$36,14,FALSE)))</f>
        <v>0</v>
      </c>
      <c r="AR15" s="170">
        <f>IF(ISNA(VLOOKUP($AD15,Bowling!$B$4:$S$36,15,FALSE)),0,(VLOOKUP($AD15,Bowling!$B$4:$S$36,15,FALSE)))</f>
        <v>0</v>
      </c>
      <c r="AS15" s="170">
        <f>IF(ISNA(VLOOKUP($AD15,Bowling!$B$4:$S$36,16,FALSE)),0,(VLOOKUP($AD15,Bowling!$B$4:$S$36,16,FALSE)))</f>
        <v>0</v>
      </c>
      <c r="AT15" s="124"/>
      <c r="AU15" s="177">
        <f>IF(ISNA(VLOOKUP($AD15,Bowling!$B$4:$S$36,18,FALSE)),0,(VLOOKUP($AD15,Bowling!$B$4:$S$36,18,FALSE)))</f>
        <v>32.200000000000003</v>
      </c>
      <c r="AW15" s="158" t="str">
        <f t="shared" si="29"/>
        <v>BALOCH, Ali</v>
      </c>
      <c r="AX15" s="159" t="str">
        <f t="shared" si="27"/>
        <v>(AUS)</v>
      </c>
      <c r="AY15" s="170">
        <f>IF(ISNA(VLOOKUP($AW15,Fielding!$B$5:$H$79,3,FALSE)),0,(VLOOKUP($AW15,Fielding!$B$5:$H$79,3,FALSE)))</f>
        <v>3</v>
      </c>
      <c r="AZ15" s="170" t="str">
        <f>IF(ISNA(VLOOKUP($AW15,Fielding!$B$5:$H$79,4,FALSE)),0,(VLOOKUP($AW15,Fielding!$B$5:$H$79,4,FALSE)))</f>
        <v>0</v>
      </c>
      <c r="BA15" s="170" t="str">
        <f>IF(ISNA(VLOOKUP($AW15,Fielding!$B$5:$H$79,5,FALSE)),0,(VLOOKUP($AW15,Fielding!$B$5:$H$79,5,FALSE)))</f>
        <v>0</v>
      </c>
      <c r="BC15" s="178">
        <f>IF(ISNA(VLOOKUP($AW15,Fielding!$B$5:$H$79,7,FALSE)),0,(VLOOKUP($AW15,Fielding!$B$5:$H$79,7,FALSE)))</f>
        <v>24</v>
      </c>
    </row>
    <row r="16" spans="1:55" ht="13.5" customHeight="1" x14ac:dyDescent="0.2">
      <c r="A16" s="119"/>
      <c r="B16" s="157">
        <f t="shared" si="14"/>
        <v>13</v>
      </c>
      <c r="C16" s="158" t="s">
        <v>221</v>
      </c>
      <c r="D16" s="159" t="s">
        <v>189</v>
      </c>
      <c r="E16" s="160">
        <f t="shared" si="15"/>
        <v>1</v>
      </c>
      <c r="F16" s="161">
        <f t="shared" si="16"/>
        <v>4</v>
      </c>
      <c r="G16" s="162">
        <f t="shared" si="17"/>
        <v>4</v>
      </c>
      <c r="H16" s="161">
        <f t="shared" si="18"/>
        <v>34.799999999999997</v>
      </c>
      <c r="I16" s="162">
        <f t="shared" si="19"/>
        <v>2</v>
      </c>
      <c r="J16" s="161">
        <f t="shared" si="20"/>
        <v>8</v>
      </c>
      <c r="K16" s="162">
        <f t="shared" si="21"/>
        <v>1</v>
      </c>
      <c r="L16" s="117"/>
      <c r="M16" s="163">
        <f t="shared" si="22"/>
        <v>46.8</v>
      </c>
      <c r="N16" s="164">
        <f t="shared" si="28"/>
        <v>46.8</v>
      </c>
      <c r="P16" s="124"/>
      <c r="Q16" s="158" t="str">
        <f t="shared" si="23"/>
        <v>DALE, Colin</v>
      </c>
      <c r="R16" s="159" t="str">
        <f t="shared" si="24"/>
        <v>(AUS)</v>
      </c>
      <c r="S16" s="170">
        <f>IF(ISNA(VLOOKUP($Q16,Batting!$B$5:$M$103,3,FALSE)),0,(VLOOKUP($Q16,Batting!$B$5:$M$103,3,FALSE)))</f>
        <v>1</v>
      </c>
      <c r="T16" s="171">
        <f>IF(ISNA(VLOOKUP($Q16,Batting!$B$5:$M$103,4,FALSE)),0,(VLOOKUP($Q16,Batting!$B$5:$M$103,4,FALSE)))</f>
        <v>1</v>
      </c>
      <c r="U16" s="171">
        <f>IF(ISNA(VLOOKUP($Q16,Batting!$B$5:$M$103,5,FALSE)),0,(VLOOKUP($Q16,Batting!$B$5:$M$103,5,FALSE)))</f>
        <v>1</v>
      </c>
      <c r="V16" s="171">
        <f>IF(ISNA(VLOOKUP($Q16,Batting!$B$5:$M$103,6,FALSE)),0,(VLOOKUP($Q16,Batting!$B$5:$M$103,6,FALSE)))</f>
        <v>4</v>
      </c>
      <c r="W16" s="172">
        <f>IF(ISNA(VLOOKUP($Q16,Batting!$B$5:$M$103,7,FALSE)),0,(VLOOKUP($Q16,Batting!$B$5:$M$103,7,FALSE)))</f>
        <v>4</v>
      </c>
      <c r="X16" s="171">
        <f>IF(ISNA(VLOOKUP($Q16,Batting!$B$5:$M$103,8,FALSE)),0,(VLOOKUP($Q16,Batting!$B$5:$M$103,8,FALSE)))</f>
        <v>0</v>
      </c>
      <c r="Y16" s="173">
        <f>IF(ISNA(VLOOKUP($Q16,Batting!$B$5:$M$103,9,FALSE)),0,(VLOOKUP($Q16,Batting!$B$5:$M$103,9,FALSE)))</f>
        <v>4</v>
      </c>
      <c r="Z16" s="194" t="str">
        <f>IF(ISNA(VLOOKUP($Q16,Batting!$B$5:$M$103,10,FALSE)),"",(VLOOKUP($Q16,Batting!$B$5:$M$103,10,FALSE)))</f>
        <v>*</v>
      </c>
      <c r="AA16" s="121"/>
      <c r="AB16" s="174">
        <f>IF(ISNA(VLOOKUP($Q16,Batting!$B$5:$M$103,12,FALSE)),0,(VLOOKUP($Q16,Batting!$B$5:$M$103,12,FALSE)))</f>
        <v>4</v>
      </c>
      <c r="AD16" s="158" t="str">
        <f t="shared" si="25"/>
        <v>DALE, Colin</v>
      </c>
      <c r="AE16" s="159" t="str">
        <f t="shared" si="26"/>
        <v>(AUS)</v>
      </c>
      <c r="AF16" s="170">
        <f>IF(ISNA(VLOOKUP($AD16,Bowling!$B$4:$S$36,3,FALSE)),0,(VLOOKUP($AD16,Bowling!$B$4:$S$36,3,FALSE)))</f>
        <v>1</v>
      </c>
      <c r="AG16" s="171">
        <f>IF(ISNA(VLOOKUP($AD16,Bowling!$B$4:$S$36,4,FALSE)),0,(VLOOKUP($AD16,Bowling!$B$4:$S$36,4,FALSE)))</f>
        <v>1</v>
      </c>
      <c r="AH16" s="175">
        <f>IF(ISNA(VLOOKUP($AD16,Bowling!$B$4:$S$36,5,FALSE)),0,(VLOOKUP($AD16,Bowling!$B$4:$S$36,5,FALSE)))</f>
        <v>4</v>
      </c>
      <c r="AI16" s="176">
        <f>IF(ISNA(VLOOKUP($AD16,Bowling!$B$4:$S$36,6,FALSE)),0,(VLOOKUP($AD16,Bowling!$B$4:$S$36,6,FALSE)))</f>
        <v>0</v>
      </c>
      <c r="AJ16" s="176">
        <f>IF(ISNA(VLOOKUP($AD16,Bowling!$B$4:$S$36,7,FALSE)),0,(VLOOKUP($AD16,Bowling!$B$4:$S$36,7,FALSE)))</f>
        <v>26</v>
      </c>
      <c r="AK16" s="176">
        <f>IF(ISNA(VLOOKUP($AD16,Bowling!$B$4:$S$36,8,FALSE)),0,(VLOOKUP($AD16,Bowling!$B$4:$S$36,8,FALSE)))</f>
        <v>2</v>
      </c>
      <c r="AL16" s="175">
        <f>IF(ISNA(VLOOKUP($AD16,Bowling!$B$4:$S$36,9,FALSE)),0,(VLOOKUP($AD16,Bowling!$B$4:$S$36,9,FALSE)))</f>
        <v>2</v>
      </c>
      <c r="AM16" s="175">
        <f>IF(ISNA(VLOOKUP($AD16,Bowling!$B$4:$S$36,10,FALSE)),0,(VLOOKUP($AD16,Bowling!$B$4:$S$36,10,FALSE)))</f>
        <v>6.5</v>
      </c>
      <c r="AN16" s="175">
        <f>IF(ISNA(VLOOKUP($AD16,Bowling!$B$4:$S$36,11,FALSE)),0,(VLOOKUP($AD16,Bowling!$B$4:$S$36,11,FALSE)))</f>
        <v>13</v>
      </c>
      <c r="AO16" s="134"/>
      <c r="AP16" s="170">
        <f>IF(ISNA(VLOOKUP($AD16,Bowling!$B$4:$S$36,13,FALSE)),0,(VLOOKUP($AD16,Bowling!$B$4:$S$36,13,FALSE)))</f>
        <v>0</v>
      </c>
      <c r="AQ16" s="170">
        <f>IF(ISNA(VLOOKUP($AD16,Bowling!$B$4:$S$36,14,FALSE)),0,(VLOOKUP($AD16,Bowling!$B$4:$S$36,14,FALSE)))</f>
        <v>0</v>
      </c>
      <c r="AR16" s="170">
        <f>IF(ISNA(VLOOKUP($AD16,Bowling!$B$4:$S$36,15,FALSE)),0,(VLOOKUP($AD16,Bowling!$B$4:$S$36,15,FALSE)))</f>
        <v>0</v>
      </c>
      <c r="AS16" s="170">
        <f>IF(ISNA(VLOOKUP($AD16,Bowling!$B$4:$S$36,16,FALSE)),0,(VLOOKUP($AD16,Bowling!$B$4:$S$36,16,FALSE)))</f>
        <v>0</v>
      </c>
      <c r="AT16" s="124"/>
      <c r="AU16" s="177">
        <f>IF(ISNA(VLOOKUP($AD16,Bowling!$B$4:$S$36,18,FALSE)),0,(VLOOKUP($AD16,Bowling!$B$4:$S$36,18,FALSE)))</f>
        <v>34.799999999999997</v>
      </c>
      <c r="AW16" s="158" t="str">
        <f t="shared" si="29"/>
        <v>DALE, Colin</v>
      </c>
      <c r="AX16" s="159" t="str">
        <f t="shared" si="27"/>
        <v>(AUS)</v>
      </c>
      <c r="AY16" s="170">
        <f>IF(ISNA(VLOOKUP($AW16,Fielding!$B$5:$H$79,3,FALSE)),0,(VLOOKUP($AW16,Fielding!$B$5:$H$79,3,FALSE)))</f>
        <v>1</v>
      </c>
      <c r="AZ16" s="170" t="str">
        <f>IF(ISNA(VLOOKUP($AW16,Fielding!$B$5:$H$79,4,FALSE)),0,(VLOOKUP($AW16,Fielding!$B$5:$H$79,4,FALSE)))</f>
        <v>0</v>
      </c>
      <c r="BA16" s="170" t="str">
        <f>IF(ISNA(VLOOKUP($AW16,Fielding!$B$5:$H$79,5,FALSE)),0,(VLOOKUP($AW16,Fielding!$B$5:$H$79,5,FALSE)))</f>
        <v>0</v>
      </c>
      <c r="BC16" s="178">
        <f>IF(ISNA(VLOOKUP($AW16,Fielding!$B$5:$H$79,7,FALSE)),0,(VLOOKUP($AW16,Fielding!$B$5:$H$79,7,FALSE)))</f>
        <v>8</v>
      </c>
    </row>
    <row r="17" spans="1:55" ht="13.5" customHeight="1" x14ac:dyDescent="0.2">
      <c r="A17" s="119"/>
      <c r="B17" s="157">
        <f t="shared" si="14"/>
        <v>14</v>
      </c>
      <c r="C17" s="158" t="s">
        <v>267</v>
      </c>
      <c r="D17" s="159" t="s">
        <v>189</v>
      </c>
      <c r="E17" s="160">
        <f t="shared" si="15"/>
        <v>1</v>
      </c>
      <c r="F17" s="161">
        <f t="shared" si="16"/>
        <v>22</v>
      </c>
      <c r="G17" s="162">
        <f t="shared" si="17"/>
        <v>29</v>
      </c>
      <c r="H17" s="161">
        <f t="shared" si="18"/>
        <v>16.600000000000001</v>
      </c>
      <c r="I17" s="162">
        <f t="shared" si="19"/>
        <v>1</v>
      </c>
      <c r="J17" s="161">
        <f t="shared" si="20"/>
        <v>8</v>
      </c>
      <c r="K17" s="162">
        <f t="shared" si="21"/>
        <v>1</v>
      </c>
      <c r="L17" s="117"/>
      <c r="M17" s="163">
        <f t="shared" si="22"/>
        <v>46.6</v>
      </c>
      <c r="N17" s="164">
        <f t="shared" si="28"/>
        <v>46.6</v>
      </c>
      <c r="P17" s="124"/>
      <c r="Q17" s="158" t="str">
        <f t="shared" si="23"/>
        <v>OVENS, Rhett</v>
      </c>
      <c r="R17" s="159" t="str">
        <f t="shared" si="24"/>
        <v>(AUS)</v>
      </c>
      <c r="S17" s="170">
        <f>IF(ISNA(VLOOKUP($Q17,Batting!$B$5:$M$103,3,FALSE)),0,(VLOOKUP($Q17,Batting!$B$5:$M$103,3,FALSE)))</f>
        <v>1</v>
      </c>
      <c r="T17" s="171">
        <f>IF(ISNA(VLOOKUP($Q17,Batting!$B$5:$M$103,4,FALSE)),0,(VLOOKUP($Q17,Batting!$B$5:$M$103,4,FALSE)))</f>
        <v>1</v>
      </c>
      <c r="U17" s="171">
        <f>IF(ISNA(VLOOKUP($Q17,Batting!$B$5:$M$103,5,FALSE)),0,(VLOOKUP($Q17,Batting!$B$5:$M$103,5,FALSE)))</f>
        <v>0</v>
      </c>
      <c r="V17" s="171">
        <f>IF(ISNA(VLOOKUP($Q17,Batting!$B$5:$M$103,6,FALSE)),0,(VLOOKUP($Q17,Batting!$B$5:$M$103,6,FALSE)))</f>
        <v>29</v>
      </c>
      <c r="W17" s="172">
        <f>IF(ISNA(VLOOKUP($Q17,Batting!$B$5:$M$103,7,FALSE)),0,(VLOOKUP($Q17,Batting!$B$5:$M$103,7,FALSE)))</f>
        <v>29</v>
      </c>
      <c r="X17" s="171">
        <f>IF(ISNA(VLOOKUP($Q17,Batting!$B$5:$M$103,8,FALSE)),0,(VLOOKUP($Q17,Batting!$B$5:$M$103,8,FALSE)))</f>
        <v>0</v>
      </c>
      <c r="Y17" s="173">
        <f>IF(ISNA(VLOOKUP($Q17,Batting!$B$5:$M$103,9,FALSE)),0,(VLOOKUP($Q17,Batting!$B$5:$M$103,9,FALSE)))</f>
        <v>29</v>
      </c>
      <c r="Z17" s="194" t="str">
        <f>IF(ISNA(VLOOKUP($Q17,Batting!$B$5:$M$103,10,FALSE)),"",(VLOOKUP($Q17,Batting!$B$5:$M$103,10,FALSE)))</f>
        <v/>
      </c>
      <c r="AA17" s="121"/>
      <c r="AB17" s="174">
        <f>IF(ISNA(VLOOKUP($Q17,Batting!$B$5:$M$103,12,FALSE)),0,(VLOOKUP($Q17,Batting!$B$5:$M$103,12,FALSE)))</f>
        <v>22</v>
      </c>
      <c r="AD17" s="158" t="str">
        <f t="shared" si="25"/>
        <v>OVENS, Rhett</v>
      </c>
      <c r="AE17" s="159" t="str">
        <f t="shared" si="26"/>
        <v>(AUS)</v>
      </c>
      <c r="AF17" s="170">
        <f>IF(ISNA(VLOOKUP($AD17,Bowling!$B$4:$S$36,3,FALSE)),0,(VLOOKUP($AD17,Bowling!$B$4:$S$36,3,FALSE)))</f>
        <v>1</v>
      </c>
      <c r="AG17" s="171">
        <f>IF(ISNA(VLOOKUP($AD17,Bowling!$B$4:$S$36,4,FALSE)),0,(VLOOKUP($AD17,Bowling!$B$4:$S$36,4,FALSE)))</f>
        <v>1</v>
      </c>
      <c r="AH17" s="175">
        <f>IF(ISNA(VLOOKUP($AD17,Bowling!$B$4:$S$36,5,FALSE)),0,(VLOOKUP($AD17,Bowling!$B$4:$S$36,5,FALSE)))</f>
        <v>6</v>
      </c>
      <c r="AI17" s="176">
        <f>IF(ISNA(VLOOKUP($AD17,Bowling!$B$4:$S$36,6,FALSE)),0,(VLOOKUP($AD17,Bowling!$B$4:$S$36,6,FALSE)))</f>
        <v>1</v>
      </c>
      <c r="AJ17" s="176">
        <f>IF(ISNA(VLOOKUP($AD17,Bowling!$B$4:$S$36,7,FALSE)),0,(VLOOKUP($AD17,Bowling!$B$4:$S$36,7,FALSE)))</f>
        <v>17</v>
      </c>
      <c r="AK17" s="176">
        <f>IF(ISNA(VLOOKUP($AD17,Bowling!$B$4:$S$36,8,FALSE)),0,(VLOOKUP($AD17,Bowling!$B$4:$S$36,8,FALSE)))</f>
        <v>1</v>
      </c>
      <c r="AL17" s="175">
        <f>IF(ISNA(VLOOKUP($AD17,Bowling!$B$4:$S$36,9,FALSE)),0,(VLOOKUP($AD17,Bowling!$B$4:$S$36,9,FALSE)))</f>
        <v>6</v>
      </c>
      <c r="AM17" s="175">
        <f>IF(ISNA(VLOOKUP($AD17,Bowling!$B$4:$S$36,10,FALSE)),0,(VLOOKUP($AD17,Bowling!$B$4:$S$36,10,FALSE)))</f>
        <v>2.8333333333333335</v>
      </c>
      <c r="AN17" s="175">
        <f>IF(ISNA(VLOOKUP($AD17,Bowling!$B$4:$S$36,11,FALSE)),0,(VLOOKUP($AD17,Bowling!$B$4:$S$36,11,FALSE)))</f>
        <v>17</v>
      </c>
      <c r="AO17" s="134"/>
      <c r="AP17" s="170">
        <f>IF(ISNA(VLOOKUP($AD17,Bowling!$B$4:$S$36,13,FALSE)),0,(VLOOKUP($AD17,Bowling!$B$4:$S$36,13,FALSE)))</f>
        <v>0</v>
      </c>
      <c r="AQ17" s="170">
        <f>IF(ISNA(VLOOKUP($AD17,Bowling!$B$4:$S$36,14,FALSE)),0,(VLOOKUP($AD17,Bowling!$B$4:$S$36,14,FALSE)))</f>
        <v>0</v>
      </c>
      <c r="AR17" s="170">
        <f>IF(ISNA(VLOOKUP($AD17,Bowling!$B$4:$S$36,15,FALSE)),0,(VLOOKUP($AD17,Bowling!$B$4:$S$36,15,FALSE)))</f>
        <v>0</v>
      </c>
      <c r="AS17" s="170">
        <f>IF(ISNA(VLOOKUP($AD17,Bowling!$B$4:$S$36,16,FALSE)),0,(VLOOKUP($AD17,Bowling!$B$4:$S$36,16,FALSE)))</f>
        <v>0</v>
      </c>
      <c r="AT17" s="124"/>
      <c r="AU17" s="177">
        <f>IF(ISNA(VLOOKUP($AD17,Bowling!$B$4:$S$36,18,FALSE)),0,(VLOOKUP($AD17,Bowling!$B$4:$S$36,18,FALSE)))</f>
        <v>16.600000000000001</v>
      </c>
      <c r="AW17" s="158" t="str">
        <f t="shared" si="29"/>
        <v>OVENS, Rhett</v>
      </c>
      <c r="AX17" s="159" t="str">
        <f t="shared" si="27"/>
        <v>(AUS)</v>
      </c>
      <c r="AY17" s="170">
        <f>IF(ISNA(VLOOKUP($AW17,Fielding!$B$5:$H$79,3,FALSE)),0,(VLOOKUP($AW17,Fielding!$B$5:$H$79,3,FALSE)))</f>
        <v>1</v>
      </c>
      <c r="AZ17" s="170" t="str">
        <f>IF(ISNA(VLOOKUP($AW17,Fielding!$B$5:$H$79,4,FALSE)),0,(VLOOKUP($AW17,Fielding!$B$5:$H$79,4,FALSE)))</f>
        <v>0</v>
      </c>
      <c r="BA17" s="170" t="str">
        <f>IF(ISNA(VLOOKUP($AW17,Fielding!$B$5:$H$79,5,FALSE)),0,(VLOOKUP($AW17,Fielding!$B$5:$H$79,5,FALSE)))</f>
        <v>0</v>
      </c>
      <c r="BC17" s="178">
        <f>IF(ISNA(VLOOKUP($AW17,Fielding!$B$5:$H$79,7,FALSE)),0,(VLOOKUP($AW17,Fielding!$B$5:$H$79,7,FALSE)))</f>
        <v>8</v>
      </c>
    </row>
    <row r="18" spans="1:55" ht="13.5" customHeight="1" x14ac:dyDescent="0.2">
      <c r="A18" s="119"/>
      <c r="B18" s="157">
        <f t="shared" si="14"/>
        <v>15</v>
      </c>
      <c r="C18" s="158" t="s">
        <v>138</v>
      </c>
      <c r="D18" s="159" t="s">
        <v>193</v>
      </c>
      <c r="E18" s="160">
        <f t="shared" si="15"/>
        <v>2</v>
      </c>
      <c r="F18" s="161">
        <f t="shared" si="16"/>
        <v>1</v>
      </c>
      <c r="G18" s="162">
        <f t="shared" si="17"/>
        <v>15</v>
      </c>
      <c r="H18" s="161">
        <f t="shared" si="18"/>
        <v>22.4</v>
      </c>
      <c r="I18" s="162">
        <f t="shared" si="19"/>
        <v>2</v>
      </c>
      <c r="J18" s="161">
        <f t="shared" si="20"/>
        <v>16</v>
      </c>
      <c r="K18" s="162">
        <f t="shared" si="21"/>
        <v>2</v>
      </c>
      <c r="L18" s="117"/>
      <c r="M18" s="163">
        <f t="shared" si="22"/>
        <v>39.4</v>
      </c>
      <c r="N18" s="164">
        <f t="shared" si="28"/>
        <v>19.7</v>
      </c>
      <c r="P18" s="116"/>
      <c r="Q18" s="158" t="str">
        <f t="shared" si="23"/>
        <v>TAMBLING, Damian</v>
      </c>
      <c r="R18" s="159" t="str">
        <f t="shared" si="24"/>
        <v>(ZIM)</v>
      </c>
      <c r="S18" s="170">
        <f>IF(ISNA(VLOOKUP($Q18,Batting!$B$5:$M$103,3,FALSE)),0,(VLOOKUP($Q18,Batting!$B$5:$M$103,3,FALSE)))</f>
        <v>2</v>
      </c>
      <c r="T18" s="171">
        <f>IF(ISNA(VLOOKUP($Q18,Batting!$B$5:$M$103,4,FALSE)),0,(VLOOKUP($Q18,Batting!$B$5:$M$103,4,FALSE)))</f>
        <v>2</v>
      </c>
      <c r="U18" s="171">
        <f>IF(ISNA(VLOOKUP($Q18,Batting!$B$5:$M$103,5,FALSE)),0,(VLOOKUP($Q18,Batting!$B$5:$M$103,5,FALSE)))</f>
        <v>0</v>
      </c>
      <c r="V18" s="171">
        <f>IF(ISNA(VLOOKUP($Q18,Batting!$B$5:$M$103,6,FALSE)),0,(VLOOKUP($Q18,Batting!$B$5:$M$103,6,FALSE)))</f>
        <v>15</v>
      </c>
      <c r="W18" s="172">
        <f>IF(ISNA(VLOOKUP($Q18,Batting!$B$5:$M$103,7,FALSE)),0,(VLOOKUP($Q18,Batting!$B$5:$M$103,7,FALSE)))</f>
        <v>15</v>
      </c>
      <c r="X18" s="171">
        <f>IF(ISNA(VLOOKUP($Q18,Batting!$B$5:$M$103,8,FALSE)),0,(VLOOKUP($Q18,Batting!$B$5:$M$103,8,FALSE)))</f>
        <v>0</v>
      </c>
      <c r="Y18" s="173">
        <f>IF(ISNA(VLOOKUP($Q18,Batting!$B$5:$M$103,9,FALSE)),0,(VLOOKUP($Q18,Batting!$B$5:$M$103,9,FALSE)))</f>
        <v>7.5</v>
      </c>
      <c r="Z18" s="194" t="str">
        <f>IF(ISNA(VLOOKUP($Q18,Batting!$B$5:$M$103,10,FALSE)),"",(VLOOKUP($Q18,Batting!$B$5:$M$103,10,FALSE)))</f>
        <v/>
      </c>
      <c r="AA18" s="121"/>
      <c r="AB18" s="174">
        <f>IF(ISNA(VLOOKUP($Q18,Batting!$B$5:$M$103,12,FALSE)),0,(VLOOKUP($Q18,Batting!$B$5:$M$103,12,FALSE)))</f>
        <v>1</v>
      </c>
      <c r="AD18" s="158" t="str">
        <f t="shared" si="25"/>
        <v>TAMBLING, Damian</v>
      </c>
      <c r="AE18" s="159" t="str">
        <f t="shared" si="26"/>
        <v>(ZIM)</v>
      </c>
      <c r="AF18" s="170">
        <f>IF(ISNA(VLOOKUP($AD18,Bowling!$B$4:$S$36,3,FALSE)),0,(VLOOKUP($AD18,Bowling!$B$4:$S$36,3,FALSE)))</f>
        <v>2</v>
      </c>
      <c r="AG18" s="171">
        <f>IF(ISNA(VLOOKUP($AD18,Bowling!$B$4:$S$36,4,FALSE)),0,(VLOOKUP($AD18,Bowling!$B$4:$S$36,4,FALSE)))</f>
        <v>2</v>
      </c>
      <c r="AH18" s="175">
        <f>IF(ISNA(VLOOKUP($AD18,Bowling!$B$4:$S$36,5,FALSE)),0,(VLOOKUP($AD18,Bowling!$B$4:$S$36,5,FALSE)))</f>
        <v>15</v>
      </c>
      <c r="AI18" s="176">
        <f>IF(ISNA(VLOOKUP($AD18,Bowling!$B$4:$S$36,6,FALSE)),0,(VLOOKUP($AD18,Bowling!$B$4:$S$36,6,FALSE)))</f>
        <v>1</v>
      </c>
      <c r="AJ18" s="176">
        <f>IF(ISNA(VLOOKUP($AD18,Bowling!$B$4:$S$36,7,FALSE)),0,(VLOOKUP($AD18,Bowling!$B$4:$S$36,7,FALSE)))</f>
        <v>88</v>
      </c>
      <c r="AK18" s="176">
        <f>IF(ISNA(VLOOKUP($AD18,Bowling!$B$4:$S$36,8,FALSE)),0,(VLOOKUP($AD18,Bowling!$B$4:$S$36,8,FALSE)))</f>
        <v>2</v>
      </c>
      <c r="AL18" s="175">
        <f>IF(ISNA(VLOOKUP($AD18,Bowling!$B$4:$S$36,9,FALSE)),0,(VLOOKUP($AD18,Bowling!$B$4:$S$36,9,FALSE)))</f>
        <v>7.5</v>
      </c>
      <c r="AM18" s="175">
        <f>IF(ISNA(VLOOKUP($AD18,Bowling!$B$4:$S$36,10,FALSE)),0,(VLOOKUP($AD18,Bowling!$B$4:$S$36,10,FALSE)))</f>
        <v>5.8666666666666663</v>
      </c>
      <c r="AN18" s="175">
        <f>IF(ISNA(VLOOKUP($AD18,Bowling!$B$4:$S$36,11,FALSE)),0,(VLOOKUP($AD18,Bowling!$B$4:$S$36,11,FALSE)))</f>
        <v>44</v>
      </c>
      <c r="AO18" s="134"/>
      <c r="AP18" s="170">
        <f>IF(ISNA(VLOOKUP($AD18,Bowling!$B$4:$S$36,13,FALSE)),0,(VLOOKUP($AD18,Bowling!$B$4:$S$36,13,FALSE)))</f>
        <v>0</v>
      </c>
      <c r="AQ18" s="170">
        <f>IF(ISNA(VLOOKUP($AD18,Bowling!$B$4:$S$36,14,FALSE)),0,(VLOOKUP($AD18,Bowling!$B$4:$S$36,14,FALSE)))</f>
        <v>0</v>
      </c>
      <c r="AR18" s="170">
        <f>IF(ISNA(VLOOKUP($AD18,Bowling!$B$4:$S$36,15,FALSE)),0,(VLOOKUP($AD18,Bowling!$B$4:$S$36,15,FALSE)))</f>
        <v>0</v>
      </c>
      <c r="AS18" s="170">
        <f>IF(ISNA(VLOOKUP($AD18,Bowling!$B$4:$S$36,16,FALSE)),0,(VLOOKUP($AD18,Bowling!$B$4:$S$36,16,FALSE)))</f>
        <v>0</v>
      </c>
      <c r="AT18" s="124"/>
      <c r="AU18" s="177">
        <f>IF(ISNA(VLOOKUP($AD18,Bowling!$B$4:$S$36,18,FALSE)),0,(VLOOKUP($AD18,Bowling!$B$4:$S$36,18,FALSE)))</f>
        <v>22.4</v>
      </c>
      <c r="AW18" s="158" t="str">
        <f t="shared" si="29"/>
        <v>TAMBLING, Damian</v>
      </c>
      <c r="AX18" s="159" t="str">
        <f t="shared" si="27"/>
        <v>(ZIM)</v>
      </c>
      <c r="AY18" s="170">
        <f>IF(ISNA(VLOOKUP($AW18,Fielding!$B$5:$H$79,3,FALSE)),0,(VLOOKUP($AW18,Fielding!$B$5:$H$79,3,FALSE)))</f>
        <v>2</v>
      </c>
      <c r="AZ18" s="170" t="str">
        <f>IF(ISNA(VLOOKUP($AW18,Fielding!$B$5:$H$79,4,FALSE)),0,(VLOOKUP($AW18,Fielding!$B$5:$H$79,4,FALSE)))</f>
        <v>0</v>
      </c>
      <c r="BA18" s="170" t="str">
        <f>IF(ISNA(VLOOKUP($AW18,Fielding!$B$5:$H$79,5,FALSE)),0,(VLOOKUP($AW18,Fielding!$B$5:$H$79,5,FALSE)))</f>
        <v>0</v>
      </c>
      <c r="BC18" s="178">
        <f>IF(ISNA(VLOOKUP($AW18,Fielding!$B$5:$H$79,7,FALSE)),0,(VLOOKUP($AW18,Fielding!$B$5:$H$79,7,FALSE)))</f>
        <v>16</v>
      </c>
    </row>
    <row r="19" spans="1:55" ht="13.5" customHeight="1" x14ac:dyDescent="0.2">
      <c r="A19" s="119"/>
      <c r="B19" s="157">
        <f t="shared" si="14"/>
        <v>16</v>
      </c>
      <c r="C19" s="158" t="s">
        <v>122</v>
      </c>
      <c r="D19" s="159" t="s">
        <v>188</v>
      </c>
      <c r="E19" s="160">
        <f t="shared" si="15"/>
        <v>2</v>
      </c>
      <c r="F19" s="161">
        <f t="shared" si="16"/>
        <v>33</v>
      </c>
      <c r="G19" s="162">
        <f t="shared" si="17"/>
        <v>40</v>
      </c>
      <c r="H19" s="161">
        <f t="shared" si="18"/>
        <v>-10</v>
      </c>
      <c r="I19" s="162" t="str">
        <f t="shared" si="19"/>
        <v/>
      </c>
      <c r="J19" s="161">
        <f t="shared" si="20"/>
        <v>0</v>
      </c>
      <c r="K19" s="162" t="str">
        <f t="shared" si="21"/>
        <v/>
      </c>
      <c r="L19" s="117"/>
      <c r="M19" s="163">
        <f t="shared" si="22"/>
        <v>23</v>
      </c>
      <c r="N19" s="164">
        <f t="shared" si="28"/>
        <v>11.5</v>
      </c>
      <c r="P19" s="116"/>
      <c r="Q19" s="158" t="str">
        <f t="shared" si="23"/>
        <v>COLEMAN, Nathan</v>
      </c>
      <c r="R19" s="159" t="str">
        <f t="shared" si="24"/>
        <v>(NZ)</v>
      </c>
      <c r="S19" s="170">
        <f>IF(ISNA(VLOOKUP($Q19,Batting!$B$5:$M$103,3,FALSE)),0,(VLOOKUP($Q19,Batting!$B$5:$M$103,3,FALSE)))</f>
        <v>2</v>
      </c>
      <c r="T19" s="171">
        <f>IF(ISNA(VLOOKUP($Q19,Batting!$B$5:$M$103,4,FALSE)),0,(VLOOKUP($Q19,Batting!$B$5:$M$103,4,FALSE)))</f>
        <v>2</v>
      </c>
      <c r="U19" s="171">
        <f>IF(ISNA(VLOOKUP($Q19,Batting!$B$5:$M$103,5,FALSE)),0,(VLOOKUP($Q19,Batting!$B$5:$M$103,5,FALSE)))</f>
        <v>1</v>
      </c>
      <c r="V19" s="171">
        <f>IF(ISNA(VLOOKUP($Q19,Batting!$B$5:$M$103,6,FALSE)),0,(VLOOKUP($Q19,Batting!$B$5:$M$103,6,FALSE)))</f>
        <v>40</v>
      </c>
      <c r="W19" s="172">
        <f>IF(ISNA(VLOOKUP($Q19,Batting!$B$5:$M$103,7,FALSE)),0,(VLOOKUP($Q19,Batting!$B$5:$M$103,7,FALSE)))</f>
        <v>34</v>
      </c>
      <c r="X19" s="171">
        <f>IF(ISNA(VLOOKUP($Q19,Batting!$B$5:$M$103,8,FALSE)),0,(VLOOKUP($Q19,Batting!$B$5:$M$103,8,FALSE)))</f>
        <v>0</v>
      </c>
      <c r="Y19" s="173">
        <f>IF(ISNA(VLOOKUP($Q19,Batting!$B$5:$M$103,9,FALSE)),0,(VLOOKUP($Q19,Batting!$B$5:$M$103,9,FALSE)))</f>
        <v>40</v>
      </c>
      <c r="Z19" s="194" t="str">
        <f>IF(ISNA(VLOOKUP($Q19,Batting!$B$5:$M$103,10,FALSE)),"",(VLOOKUP($Q19,Batting!$B$5:$M$103,10,FALSE)))</f>
        <v/>
      </c>
      <c r="AA19" s="121"/>
      <c r="AB19" s="174">
        <f>IF(ISNA(VLOOKUP($Q19,Batting!$B$5:$M$103,12,FALSE)),0,(VLOOKUP($Q19,Batting!$B$5:$M$103,12,FALSE)))</f>
        <v>33</v>
      </c>
      <c r="AD19" s="158" t="str">
        <f t="shared" si="25"/>
        <v>COLEMAN, Nathan</v>
      </c>
      <c r="AE19" s="159" t="str">
        <f t="shared" si="26"/>
        <v>(NZ)</v>
      </c>
      <c r="AF19" s="170">
        <f>IF(ISNA(VLOOKUP($AD19,Bowling!$B$4:$S$36,3,FALSE)),0,(VLOOKUP($AD19,Bowling!$B$4:$S$36,3,FALSE)))</f>
        <v>2</v>
      </c>
      <c r="AG19" s="171">
        <f>IF(ISNA(VLOOKUP($AD19,Bowling!$B$4:$S$36,4,FALSE)),0,(VLOOKUP($AD19,Bowling!$B$4:$S$36,4,FALSE)))</f>
        <v>2</v>
      </c>
      <c r="AH19" s="175">
        <f>IF(ISNA(VLOOKUP($AD19,Bowling!$B$4:$S$36,5,FALSE)),0,(VLOOKUP($AD19,Bowling!$B$4:$S$36,5,FALSE)))</f>
        <v>8</v>
      </c>
      <c r="AI19" s="176">
        <f>IF(ISNA(VLOOKUP($AD19,Bowling!$B$4:$S$36,6,FALSE)),0,(VLOOKUP($AD19,Bowling!$B$4:$S$36,6,FALSE)))</f>
        <v>0</v>
      </c>
      <c r="AJ19" s="176">
        <f>IF(ISNA(VLOOKUP($AD19,Bowling!$B$4:$S$36,7,FALSE)),0,(VLOOKUP($AD19,Bowling!$B$4:$S$36,7,FALSE)))</f>
        <v>50</v>
      </c>
      <c r="AK19" s="176">
        <f>IF(ISNA(VLOOKUP($AD19,Bowling!$B$4:$S$36,8,FALSE)),0,(VLOOKUP($AD19,Bowling!$B$4:$S$36,8,FALSE)))</f>
        <v>0</v>
      </c>
      <c r="AL19" s="175" t="str">
        <f>IF(ISNA(VLOOKUP($AD19,Bowling!$B$4:$S$36,9,FALSE)),0,(VLOOKUP($AD19,Bowling!$B$4:$S$36,9,FALSE)))</f>
        <v>-</v>
      </c>
      <c r="AM19" s="175">
        <f>IF(ISNA(VLOOKUP($AD19,Bowling!$B$4:$S$36,10,FALSE)),0,(VLOOKUP($AD19,Bowling!$B$4:$S$36,10,FALSE)))</f>
        <v>6.25</v>
      </c>
      <c r="AN19" s="175" t="str">
        <f>IF(ISNA(VLOOKUP($AD19,Bowling!$B$4:$S$36,11,FALSE)),0,(VLOOKUP($AD19,Bowling!$B$4:$S$36,11,FALSE)))</f>
        <v>-</v>
      </c>
      <c r="AO19" s="134"/>
      <c r="AP19" s="170">
        <f>IF(ISNA(VLOOKUP($AD19,Bowling!$B$4:$S$36,13,FALSE)),0,(VLOOKUP($AD19,Bowling!$B$4:$S$36,13,FALSE)))</f>
        <v>0</v>
      </c>
      <c r="AQ19" s="170">
        <f>IF(ISNA(VLOOKUP($AD19,Bowling!$B$4:$S$36,14,FALSE)),0,(VLOOKUP($AD19,Bowling!$B$4:$S$36,14,FALSE)))</f>
        <v>0</v>
      </c>
      <c r="AR19" s="170">
        <f>IF(ISNA(VLOOKUP($AD19,Bowling!$B$4:$S$36,15,FALSE)),0,(VLOOKUP($AD19,Bowling!$B$4:$S$36,15,FALSE)))</f>
        <v>0</v>
      </c>
      <c r="AS19" s="170">
        <f>IF(ISNA(VLOOKUP($AD19,Bowling!$B$4:$S$36,16,FALSE)),0,(VLOOKUP($AD19,Bowling!$B$4:$S$36,16,FALSE)))</f>
        <v>0</v>
      </c>
      <c r="AT19" s="124"/>
      <c r="AU19" s="177">
        <f>IF(ISNA(VLOOKUP($AD19,Bowling!$B$4:$S$36,18,FALSE)),0,(VLOOKUP($AD19,Bowling!$B$4:$S$36,18,FALSE)))</f>
        <v>-10</v>
      </c>
      <c r="AW19" s="158" t="str">
        <f t="shared" si="29"/>
        <v>COLEMAN, Nathan</v>
      </c>
      <c r="AX19" s="159" t="str">
        <f t="shared" si="27"/>
        <v>(NZ)</v>
      </c>
      <c r="AY19" s="170">
        <f>IF(ISNA(VLOOKUP($AW19,Fielding!$B$5:$H$79,3,FALSE)),0,(VLOOKUP($AW19,Fielding!$B$5:$H$79,3,FALSE)))</f>
        <v>0</v>
      </c>
      <c r="AZ19" s="170">
        <f>IF(ISNA(VLOOKUP($AW19,Fielding!$B$5:$H$79,4,FALSE)),0,(VLOOKUP($AW19,Fielding!$B$5:$H$79,4,FALSE)))</f>
        <v>0</v>
      </c>
      <c r="BA19" s="170">
        <f>IF(ISNA(VLOOKUP($AW19,Fielding!$B$5:$H$79,5,FALSE)),0,(VLOOKUP($AW19,Fielding!$B$5:$H$79,5,FALSE)))</f>
        <v>0</v>
      </c>
      <c r="BC19" s="178">
        <f>IF(ISNA(VLOOKUP($AW19,Fielding!$B$5:$H$79,7,FALSE)),0,(VLOOKUP($AW19,Fielding!$B$5:$H$79,7,FALSE)))</f>
        <v>0</v>
      </c>
    </row>
    <row r="20" spans="1:55" ht="13.5" customHeight="1" x14ac:dyDescent="0.2">
      <c r="A20" s="119"/>
      <c r="B20" s="157">
        <f t="shared" si="14"/>
        <v>17</v>
      </c>
      <c r="C20" s="158" t="s">
        <v>278</v>
      </c>
      <c r="D20" s="159" t="s">
        <v>188</v>
      </c>
      <c r="E20" s="160">
        <f t="shared" si="15"/>
        <v>1</v>
      </c>
      <c r="F20" s="161">
        <f t="shared" si="16"/>
        <v>16</v>
      </c>
      <c r="G20" s="162">
        <f t="shared" si="17"/>
        <v>23</v>
      </c>
      <c r="H20" s="161">
        <f t="shared" si="18"/>
        <v>-2.8</v>
      </c>
      <c r="I20" s="162" t="str">
        <f t="shared" si="19"/>
        <v/>
      </c>
      <c r="J20" s="161">
        <f t="shared" si="20"/>
        <v>8</v>
      </c>
      <c r="K20" s="162">
        <f t="shared" si="21"/>
        <v>1</v>
      </c>
      <c r="L20" s="117"/>
      <c r="M20" s="163">
        <f t="shared" si="22"/>
        <v>21.2</v>
      </c>
      <c r="N20" s="164">
        <f t="shared" si="28"/>
        <v>21.2</v>
      </c>
      <c r="P20" s="124"/>
      <c r="Q20" s="158" t="str">
        <f t="shared" si="23"/>
        <v>CULLEY, James</v>
      </c>
      <c r="R20" s="159" t="str">
        <f t="shared" si="24"/>
        <v>(NZ)</v>
      </c>
      <c r="S20" s="170">
        <f>IF(ISNA(VLOOKUP($Q20,Batting!$B$5:$M$103,3,FALSE)),0,(VLOOKUP($Q20,Batting!$B$5:$M$103,3,FALSE)))</f>
        <v>1</v>
      </c>
      <c r="T20" s="171">
        <f>IF(ISNA(VLOOKUP($Q20,Batting!$B$5:$M$103,4,FALSE)),0,(VLOOKUP($Q20,Batting!$B$5:$M$103,4,FALSE)))</f>
        <v>1</v>
      </c>
      <c r="U20" s="171">
        <f>IF(ISNA(VLOOKUP($Q20,Batting!$B$5:$M$103,5,FALSE)),0,(VLOOKUP($Q20,Batting!$B$5:$M$103,5,FALSE)))</f>
        <v>0</v>
      </c>
      <c r="V20" s="171">
        <f>IF(ISNA(VLOOKUP($Q20,Batting!$B$5:$M$103,6,FALSE)),0,(VLOOKUP($Q20,Batting!$B$5:$M$103,6,FALSE)))</f>
        <v>23</v>
      </c>
      <c r="W20" s="172">
        <f>IF(ISNA(VLOOKUP($Q20,Batting!$B$5:$M$103,7,FALSE)),0,(VLOOKUP($Q20,Batting!$B$5:$M$103,7,FALSE)))</f>
        <v>23</v>
      </c>
      <c r="X20" s="171">
        <f>IF(ISNA(VLOOKUP($Q20,Batting!$B$5:$M$103,8,FALSE)),0,(VLOOKUP($Q20,Batting!$B$5:$M$103,8,FALSE)))</f>
        <v>0</v>
      </c>
      <c r="Y20" s="173">
        <f>IF(ISNA(VLOOKUP($Q20,Batting!$B$5:$M$103,9,FALSE)),0,(VLOOKUP($Q20,Batting!$B$5:$M$103,9,FALSE)))</f>
        <v>23</v>
      </c>
      <c r="Z20" s="194" t="str">
        <f>IF(ISNA(VLOOKUP($Q20,Batting!$B$5:$M$103,10,FALSE)),"",(VLOOKUP($Q20,Batting!$B$5:$M$103,10,FALSE)))</f>
        <v/>
      </c>
      <c r="AA20" s="121"/>
      <c r="AB20" s="174">
        <f>IF(ISNA(VLOOKUP($Q20,Batting!$B$5:$M$103,12,FALSE)),0,(VLOOKUP($Q20,Batting!$B$5:$M$103,12,FALSE)))</f>
        <v>16</v>
      </c>
      <c r="AD20" s="158" t="str">
        <f t="shared" si="25"/>
        <v>CULLEY, James</v>
      </c>
      <c r="AE20" s="159" t="str">
        <f t="shared" si="26"/>
        <v>(NZ)</v>
      </c>
      <c r="AF20" s="170">
        <f>IF(ISNA(VLOOKUP($AD20,Bowling!$B$4:$S$36,3,FALSE)),0,(VLOOKUP($AD20,Bowling!$B$4:$S$36,3,FALSE)))</f>
        <v>1</v>
      </c>
      <c r="AG20" s="171">
        <f>IF(ISNA(VLOOKUP($AD20,Bowling!$B$4:$S$36,4,FALSE)),0,(VLOOKUP($AD20,Bowling!$B$4:$S$36,4,FALSE)))</f>
        <v>1</v>
      </c>
      <c r="AH20" s="175">
        <f>IF(ISNA(VLOOKUP($AD20,Bowling!$B$4:$S$36,5,FALSE)),0,(VLOOKUP($AD20,Bowling!$B$4:$S$36,5,FALSE)))</f>
        <v>8</v>
      </c>
      <c r="AI20" s="176">
        <f>IF(ISNA(VLOOKUP($AD20,Bowling!$B$4:$S$36,6,FALSE)),0,(VLOOKUP($AD20,Bowling!$B$4:$S$36,6,FALSE)))</f>
        <v>0</v>
      </c>
      <c r="AJ20" s="176">
        <f>IF(ISNA(VLOOKUP($AD20,Bowling!$B$4:$S$36,7,FALSE)),0,(VLOOKUP($AD20,Bowling!$B$4:$S$36,7,FALSE)))</f>
        <v>14</v>
      </c>
      <c r="AK20" s="176">
        <f>IF(ISNA(VLOOKUP($AD20,Bowling!$B$4:$S$36,8,FALSE)),0,(VLOOKUP($AD20,Bowling!$B$4:$S$36,8,FALSE)))</f>
        <v>0</v>
      </c>
      <c r="AL20" s="175" t="str">
        <f>IF(ISNA(VLOOKUP($AD20,Bowling!$B$4:$S$36,9,FALSE)),0,(VLOOKUP($AD20,Bowling!$B$4:$S$36,9,FALSE)))</f>
        <v>-</v>
      </c>
      <c r="AM20" s="175">
        <f>IF(ISNA(VLOOKUP($AD20,Bowling!$B$4:$S$36,10,FALSE)),0,(VLOOKUP($AD20,Bowling!$B$4:$S$36,10,FALSE)))</f>
        <v>1.75</v>
      </c>
      <c r="AN20" s="175" t="str">
        <f>IF(ISNA(VLOOKUP($AD20,Bowling!$B$4:$S$36,11,FALSE)),0,(VLOOKUP($AD20,Bowling!$B$4:$S$36,11,FALSE)))</f>
        <v>-</v>
      </c>
      <c r="AO20" s="134"/>
      <c r="AP20" s="170">
        <f>IF(ISNA(VLOOKUP($AD20,Bowling!$B$4:$S$36,13,FALSE)),0,(VLOOKUP($AD20,Bowling!$B$4:$S$36,13,FALSE)))</f>
        <v>0</v>
      </c>
      <c r="AQ20" s="170">
        <f>IF(ISNA(VLOOKUP($AD20,Bowling!$B$4:$S$36,14,FALSE)),0,(VLOOKUP($AD20,Bowling!$B$4:$S$36,14,FALSE)))</f>
        <v>0</v>
      </c>
      <c r="AR20" s="170">
        <f>IF(ISNA(VLOOKUP($AD20,Bowling!$B$4:$S$36,15,FALSE)),0,(VLOOKUP($AD20,Bowling!$B$4:$S$36,15,FALSE)))</f>
        <v>0</v>
      </c>
      <c r="AS20" s="170">
        <f>IF(ISNA(VLOOKUP($AD20,Bowling!$B$4:$S$36,16,FALSE)),0,(VLOOKUP($AD20,Bowling!$B$4:$S$36,16,FALSE)))</f>
        <v>0</v>
      </c>
      <c r="AT20" s="124"/>
      <c r="AU20" s="177">
        <f>IF(ISNA(VLOOKUP($AD20,Bowling!$B$4:$S$36,18,FALSE)),0,(VLOOKUP($AD20,Bowling!$B$4:$S$36,18,FALSE)))</f>
        <v>-2.8</v>
      </c>
      <c r="AW20" s="158" t="str">
        <f t="shared" si="29"/>
        <v>CULLEY, James</v>
      </c>
      <c r="AX20" s="159" t="str">
        <f t="shared" si="27"/>
        <v>(NZ)</v>
      </c>
      <c r="AY20" s="170">
        <f>IF(ISNA(VLOOKUP($AW20,Fielding!$B$5:$H$79,3,FALSE)),0,(VLOOKUP($AW20,Fielding!$B$5:$H$79,3,FALSE)))</f>
        <v>1</v>
      </c>
      <c r="AZ20" s="170" t="str">
        <f>IF(ISNA(VLOOKUP($AW20,Fielding!$B$5:$H$79,4,FALSE)),0,(VLOOKUP($AW20,Fielding!$B$5:$H$79,4,FALSE)))</f>
        <v>0</v>
      </c>
      <c r="BA20" s="170" t="str">
        <f>IF(ISNA(VLOOKUP($AW20,Fielding!$B$5:$H$79,5,FALSE)),0,(VLOOKUP($AW20,Fielding!$B$5:$H$79,5,FALSE)))</f>
        <v>0</v>
      </c>
      <c r="BC20" s="178">
        <f>IF(ISNA(VLOOKUP($AW20,Fielding!$B$5:$H$79,7,FALSE)),0,(VLOOKUP($AW20,Fielding!$B$5:$H$79,7,FALSE)))</f>
        <v>8</v>
      </c>
    </row>
    <row r="21" spans="1:55" ht="13.5" customHeight="1" x14ac:dyDescent="0.2">
      <c r="A21" s="119"/>
      <c r="B21" s="157">
        <f t="shared" si="14"/>
        <v>18</v>
      </c>
      <c r="C21" s="158" t="s">
        <v>276</v>
      </c>
      <c r="D21" s="159" t="s">
        <v>191</v>
      </c>
      <c r="E21" s="160">
        <f t="shared" si="15"/>
        <v>1</v>
      </c>
      <c r="F21" s="161" t="str">
        <f t="shared" si="16"/>
        <v>0</v>
      </c>
      <c r="G21" s="162" t="str">
        <f t="shared" si="17"/>
        <v>-</v>
      </c>
      <c r="H21" s="161">
        <f t="shared" si="18"/>
        <v>16.399999999999999</v>
      </c>
      <c r="I21" s="162">
        <f t="shared" si="19"/>
        <v>1</v>
      </c>
      <c r="J21" s="161">
        <f t="shared" si="20"/>
        <v>0</v>
      </c>
      <c r="K21" s="162" t="str">
        <f t="shared" si="21"/>
        <v/>
      </c>
      <c r="L21" s="117"/>
      <c r="M21" s="163">
        <f t="shared" si="22"/>
        <v>16.399999999999999</v>
      </c>
      <c r="N21" s="164">
        <f t="shared" si="28"/>
        <v>16.399999999999999</v>
      </c>
      <c r="P21" s="116"/>
      <c r="Q21" s="158" t="str">
        <f t="shared" si="23"/>
        <v>BALDEN, Bruce</v>
      </c>
      <c r="R21" s="159" t="str">
        <f t="shared" si="24"/>
        <v>(ENG)</v>
      </c>
      <c r="S21" s="170">
        <f>IF(ISNA(VLOOKUP($Q21,Batting!$B$5:$M$103,3,FALSE)),0,(VLOOKUP($Q21,Batting!$B$5:$M$103,3,FALSE)))</f>
        <v>1</v>
      </c>
      <c r="T21" s="171" t="str">
        <f>IF(ISNA(VLOOKUP($Q21,Batting!$B$5:$M$103,4,FALSE)),0,(VLOOKUP($Q21,Batting!$B$5:$M$103,4,FALSE)))</f>
        <v>-</v>
      </c>
      <c r="U21" s="171" t="str">
        <f>IF(ISNA(VLOOKUP($Q21,Batting!$B$5:$M$103,5,FALSE)),0,(VLOOKUP($Q21,Batting!$B$5:$M$103,5,FALSE)))</f>
        <v>-</v>
      </c>
      <c r="V21" s="171" t="str">
        <f>IF(ISNA(VLOOKUP($Q21,Batting!$B$5:$M$103,6,FALSE)),0,(VLOOKUP($Q21,Batting!$B$5:$M$103,6,FALSE)))</f>
        <v>-</v>
      </c>
      <c r="W21" s="172" t="str">
        <f>IF(ISNA(VLOOKUP($Q21,Batting!$B$5:$M$103,7,FALSE)),0,(VLOOKUP($Q21,Batting!$B$5:$M$103,7,FALSE)))</f>
        <v>-</v>
      </c>
      <c r="X21" s="171">
        <f>IF(ISNA(VLOOKUP($Q21,Batting!$B$5:$M$103,8,FALSE)),0,(VLOOKUP($Q21,Batting!$B$5:$M$103,8,FALSE)))</f>
        <v>0</v>
      </c>
      <c r="Y21" s="173" t="str">
        <f>IF(ISNA(VLOOKUP($Q21,Batting!$B$5:$M$103,9,FALSE)),0,(VLOOKUP($Q21,Batting!$B$5:$M$103,9,FALSE)))</f>
        <v>-</v>
      </c>
      <c r="Z21" s="194" t="e">
        <f>IF(ISNA(VLOOKUP($Q21,Batting!$B$5:$M$103,10,FALSE)),"",(VLOOKUP($Q21,Batting!$B$5:$M$103,10,FALSE)))</f>
        <v>#VALUE!</v>
      </c>
      <c r="AA21" s="121"/>
      <c r="AB21" s="174" t="str">
        <f>IF(ISNA(VLOOKUP($Q21,Batting!$B$5:$M$103,12,FALSE)),0,(VLOOKUP($Q21,Batting!$B$5:$M$103,12,FALSE)))</f>
        <v>0</v>
      </c>
      <c r="AD21" s="158" t="str">
        <f t="shared" si="25"/>
        <v>BALDEN, Bruce</v>
      </c>
      <c r="AE21" s="159" t="str">
        <f t="shared" si="26"/>
        <v>(ENG)</v>
      </c>
      <c r="AF21" s="170">
        <f>IF(ISNA(VLOOKUP($AD21,Bowling!$B$4:$S$36,3,FALSE)),0,(VLOOKUP($AD21,Bowling!$B$4:$S$36,3,FALSE)))</f>
        <v>1</v>
      </c>
      <c r="AG21" s="171">
        <f>IF(ISNA(VLOOKUP($AD21,Bowling!$B$4:$S$36,4,FALSE)),0,(VLOOKUP($AD21,Bowling!$B$4:$S$36,4,FALSE)))</f>
        <v>1</v>
      </c>
      <c r="AH21" s="175">
        <f>IF(ISNA(VLOOKUP($AD21,Bowling!$B$4:$S$36,5,FALSE)),0,(VLOOKUP($AD21,Bowling!$B$4:$S$36,5,FALSE)))</f>
        <v>4</v>
      </c>
      <c r="AI21" s="176">
        <f>IF(ISNA(VLOOKUP($AD21,Bowling!$B$4:$S$36,6,FALSE)),0,(VLOOKUP($AD21,Bowling!$B$4:$S$36,6,FALSE)))</f>
        <v>1</v>
      </c>
      <c r="AJ21" s="176">
        <f>IF(ISNA(VLOOKUP($AD21,Bowling!$B$4:$S$36,7,FALSE)),0,(VLOOKUP($AD21,Bowling!$B$4:$S$36,7,FALSE)))</f>
        <v>18</v>
      </c>
      <c r="AK21" s="176">
        <f>IF(ISNA(VLOOKUP($AD21,Bowling!$B$4:$S$36,8,FALSE)),0,(VLOOKUP($AD21,Bowling!$B$4:$S$36,8,FALSE)))</f>
        <v>1</v>
      </c>
      <c r="AL21" s="175">
        <f>IF(ISNA(VLOOKUP($AD21,Bowling!$B$4:$S$36,9,FALSE)),0,(VLOOKUP($AD21,Bowling!$B$4:$S$36,9,FALSE)))</f>
        <v>4</v>
      </c>
      <c r="AM21" s="175">
        <f>IF(ISNA(VLOOKUP($AD21,Bowling!$B$4:$S$36,10,FALSE)),0,(VLOOKUP($AD21,Bowling!$B$4:$S$36,10,FALSE)))</f>
        <v>4.5</v>
      </c>
      <c r="AN21" s="175">
        <f>IF(ISNA(VLOOKUP($AD21,Bowling!$B$4:$S$36,11,FALSE)),0,(VLOOKUP($AD21,Bowling!$B$4:$S$36,11,FALSE)))</f>
        <v>18</v>
      </c>
      <c r="AO21" s="134"/>
      <c r="AP21" s="170">
        <f>IF(ISNA(VLOOKUP($AD21,Bowling!$B$4:$S$36,13,FALSE)),0,(VLOOKUP($AD21,Bowling!$B$4:$S$36,13,FALSE)))</f>
        <v>0</v>
      </c>
      <c r="AQ21" s="170">
        <f>IF(ISNA(VLOOKUP($AD21,Bowling!$B$4:$S$36,14,FALSE)),0,(VLOOKUP($AD21,Bowling!$B$4:$S$36,14,FALSE)))</f>
        <v>0</v>
      </c>
      <c r="AR21" s="170">
        <f>IF(ISNA(VLOOKUP($AD21,Bowling!$B$4:$S$36,15,FALSE)),0,(VLOOKUP($AD21,Bowling!$B$4:$S$36,15,FALSE)))</f>
        <v>0</v>
      </c>
      <c r="AS21" s="170">
        <f>IF(ISNA(VLOOKUP($AD21,Bowling!$B$4:$S$36,16,FALSE)),0,(VLOOKUP($AD21,Bowling!$B$4:$S$36,16,FALSE)))</f>
        <v>0</v>
      </c>
      <c r="AT21" s="124"/>
      <c r="AU21" s="177">
        <f>IF(ISNA(VLOOKUP($AD21,Bowling!$B$4:$S$36,18,FALSE)),0,(VLOOKUP($AD21,Bowling!$B$4:$S$36,18,FALSE)))</f>
        <v>16.399999999999999</v>
      </c>
      <c r="AW21" s="158" t="str">
        <f t="shared" si="29"/>
        <v>BALDEN, Bruce</v>
      </c>
      <c r="AX21" s="159" t="str">
        <f t="shared" si="27"/>
        <v>(ENG)</v>
      </c>
      <c r="AY21" s="170">
        <f>IF(ISNA(VLOOKUP($AW21,Fielding!$B$5:$H$79,3,FALSE)),0,(VLOOKUP($AW21,Fielding!$B$5:$H$79,3,FALSE)))</f>
        <v>0</v>
      </c>
      <c r="AZ21" s="170">
        <f>IF(ISNA(VLOOKUP($AW21,Fielding!$B$5:$H$79,4,FALSE)),0,(VLOOKUP($AW21,Fielding!$B$5:$H$79,4,FALSE)))</f>
        <v>0</v>
      </c>
      <c r="BA21" s="170">
        <f>IF(ISNA(VLOOKUP($AW21,Fielding!$B$5:$H$79,5,FALSE)),0,(VLOOKUP($AW21,Fielding!$B$5:$H$79,5,FALSE)))</f>
        <v>0</v>
      </c>
      <c r="BC21" s="178">
        <f>IF(ISNA(VLOOKUP($AW21,Fielding!$B$5:$H$79,7,FALSE)),0,(VLOOKUP($AW21,Fielding!$B$5:$H$79,7,FALSE)))</f>
        <v>0</v>
      </c>
    </row>
    <row r="22" spans="1:55" ht="13.5" customHeight="1" x14ac:dyDescent="0.2">
      <c r="A22" s="119"/>
      <c r="B22" s="157">
        <f t="shared" si="14"/>
        <v>19</v>
      </c>
      <c r="C22" s="158" t="s">
        <v>217</v>
      </c>
      <c r="D22" s="159" t="s">
        <v>188</v>
      </c>
      <c r="E22" s="160">
        <f t="shared" si="15"/>
        <v>6</v>
      </c>
      <c r="F22" s="161">
        <f t="shared" si="16"/>
        <v>10</v>
      </c>
      <c r="G22" s="162">
        <f t="shared" si="17"/>
        <v>45</v>
      </c>
      <c r="H22" s="161">
        <f t="shared" si="18"/>
        <v>0</v>
      </c>
      <c r="I22" s="162" t="str">
        <f t="shared" si="19"/>
        <v/>
      </c>
      <c r="J22" s="161">
        <f t="shared" si="20"/>
        <v>0</v>
      </c>
      <c r="K22" s="162" t="str">
        <f t="shared" si="21"/>
        <v/>
      </c>
      <c r="L22" s="117"/>
      <c r="M22" s="163">
        <f t="shared" si="22"/>
        <v>10</v>
      </c>
      <c r="N22" s="164">
        <f t="shared" si="28"/>
        <v>1.6666666666666667</v>
      </c>
      <c r="P22" s="116"/>
      <c r="Q22" s="158" t="str">
        <f t="shared" si="23"/>
        <v>PHELAN, Jack</v>
      </c>
      <c r="R22" s="159" t="str">
        <f t="shared" si="24"/>
        <v>(NZ)</v>
      </c>
      <c r="S22" s="170">
        <f>IF(ISNA(VLOOKUP($Q22,Batting!$B$5:$M$103,3,FALSE)),0,(VLOOKUP($Q22,Batting!$B$5:$M$103,3,FALSE)))</f>
        <v>6</v>
      </c>
      <c r="T22" s="171">
        <f>IF(ISNA(VLOOKUP($Q22,Batting!$B$5:$M$103,4,FALSE)),0,(VLOOKUP($Q22,Batting!$B$5:$M$103,4,FALSE)))</f>
        <v>6</v>
      </c>
      <c r="U22" s="171">
        <f>IF(ISNA(VLOOKUP($Q22,Batting!$B$5:$M$103,5,FALSE)),0,(VLOOKUP($Q22,Batting!$B$5:$M$103,5,FALSE)))</f>
        <v>1</v>
      </c>
      <c r="V22" s="171">
        <f>IF(ISNA(VLOOKUP($Q22,Batting!$B$5:$M$103,6,FALSE)),0,(VLOOKUP($Q22,Batting!$B$5:$M$103,6,FALSE)))</f>
        <v>45</v>
      </c>
      <c r="W22" s="172">
        <f>IF(ISNA(VLOOKUP($Q22,Batting!$B$5:$M$103,7,FALSE)),0,(VLOOKUP($Q22,Batting!$B$5:$M$103,7,FALSE)))</f>
        <v>15</v>
      </c>
      <c r="X22" s="171">
        <f>IF(ISNA(VLOOKUP($Q22,Batting!$B$5:$M$103,8,FALSE)),0,(VLOOKUP($Q22,Batting!$B$5:$M$103,8,FALSE)))</f>
        <v>0</v>
      </c>
      <c r="Y22" s="173">
        <f>IF(ISNA(VLOOKUP($Q22,Batting!$B$5:$M$103,9,FALSE)),0,(VLOOKUP($Q22,Batting!$B$5:$M$103,9,FALSE)))</f>
        <v>9</v>
      </c>
      <c r="Z22" s="194" t="str">
        <f>IF(ISNA(VLOOKUP($Q22,Batting!$B$5:$M$103,10,FALSE)),"",(VLOOKUP($Q22,Batting!$B$5:$M$103,10,FALSE)))</f>
        <v/>
      </c>
      <c r="AA22" s="121"/>
      <c r="AB22" s="174">
        <f>IF(ISNA(VLOOKUP($Q22,Batting!$B$5:$M$103,12,FALSE)),0,(VLOOKUP($Q22,Batting!$B$5:$M$103,12,FALSE)))</f>
        <v>10</v>
      </c>
      <c r="AD22" s="158" t="str">
        <f t="shared" si="25"/>
        <v>PHELAN, Jack</v>
      </c>
      <c r="AE22" s="159" t="str">
        <f t="shared" si="26"/>
        <v>(NZ)</v>
      </c>
      <c r="AF22" s="170">
        <f>IF(ISNA(VLOOKUP($AD22,Bowling!$B$4:$S$36,3,FALSE)),0,(VLOOKUP($AD22,Bowling!$B$4:$S$36,3,FALSE)))</f>
        <v>0</v>
      </c>
      <c r="AG22" s="171">
        <f>IF(ISNA(VLOOKUP($AD22,Bowling!$B$4:$S$36,4,FALSE)),0,(VLOOKUP($AD22,Bowling!$B$4:$S$36,4,FALSE)))</f>
        <v>0</v>
      </c>
      <c r="AH22" s="175">
        <f>IF(ISNA(VLOOKUP($AD22,Bowling!$B$4:$S$36,5,FALSE)),0,(VLOOKUP($AD22,Bowling!$B$4:$S$36,5,FALSE)))</f>
        <v>0</v>
      </c>
      <c r="AI22" s="176">
        <f>IF(ISNA(VLOOKUP($AD22,Bowling!$B$4:$S$36,6,FALSE)),0,(VLOOKUP($AD22,Bowling!$B$4:$S$36,6,FALSE)))</f>
        <v>0</v>
      </c>
      <c r="AJ22" s="176">
        <f>IF(ISNA(VLOOKUP($AD22,Bowling!$B$4:$S$36,7,FALSE)),0,(VLOOKUP($AD22,Bowling!$B$4:$S$36,7,FALSE)))</f>
        <v>0</v>
      </c>
      <c r="AK22" s="176">
        <f>IF(ISNA(VLOOKUP($AD22,Bowling!$B$4:$S$36,8,FALSE)),0,(VLOOKUP($AD22,Bowling!$B$4:$S$36,8,FALSE)))</f>
        <v>0</v>
      </c>
      <c r="AL22" s="175">
        <f>IF(ISNA(VLOOKUP($AD22,Bowling!$B$4:$S$36,9,FALSE)),0,(VLOOKUP($AD22,Bowling!$B$4:$S$36,9,FALSE)))</f>
        <v>0</v>
      </c>
      <c r="AM22" s="175">
        <f>IF(ISNA(VLOOKUP($AD22,Bowling!$B$4:$S$36,10,FALSE)),0,(VLOOKUP($AD22,Bowling!$B$4:$S$36,10,FALSE)))</f>
        <v>0</v>
      </c>
      <c r="AN22" s="175">
        <f>IF(ISNA(VLOOKUP($AD22,Bowling!$B$4:$S$36,11,FALSE)),0,(VLOOKUP($AD22,Bowling!$B$4:$S$36,11,FALSE)))</f>
        <v>0</v>
      </c>
      <c r="AO22" s="134"/>
      <c r="AP22" s="170">
        <f>IF(ISNA(VLOOKUP($AD22,Bowling!$B$4:$S$36,13,FALSE)),0,(VLOOKUP($AD22,Bowling!$B$4:$S$36,13,FALSE)))</f>
        <v>0</v>
      </c>
      <c r="AQ22" s="170">
        <f>IF(ISNA(VLOOKUP($AD22,Bowling!$B$4:$S$36,14,FALSE)),0,(VLOOKUP($AD22,Bowling!$B$4:$S$36,14,FALSE)))</f>
        <v>0</v>
      </c>
      <c r="AR22" s="170">
        <f>IF(ISNA(VLOOKUP($AD22,Bowling!$B$4:$S$36,15,FALSE)),0,(VLOOKUP($AD22,Bowling!$B$4:$S$36,15,FALSE)))</f>
        <v>0</v>
      </c>
      <c r="AS22" s="170">
        <f>IF(ISNA(VLOOKUP($AD22,Bowling!$B$4:$S$36,16,FALSE)),0,(VLOOKUP($AD22,Bowling!$B$4:$S$36,16,FALSE)))</f>
        <v>0</v>
      </c>
      <c r="AT22" s="124"/>
      <c r="AU22" s="177">
        <f>IF(ISNA(VLOOKUP($AD22,Bowling!$B$4:$S$36,18,FALSE)),0,(VLOOKUP($AD22,Bowling!$B$4:$S$36,18,FALSE)))</f>
        <v>0</v>
      </c>
      <c r="AW22" s="158" t="str">
        <f t="shared" si="29"/>
        <v>PHELAN, Jack</v>
      </c>
      <c r="AX22" s="159" t="str">
        <f t="shared" si="27"/>
        <v>(NZ)</v>
      </c>
      <c r="AY22" s="170">
        <f>IF(ISNA(VLOOKUP($AW22,Fielding!$B$5:$H$79,3,FALSE)),0,(VLOOKUP($AW22,Fielding!$B$5:$H$79,3,FALSE)))</f>
        <v>0</v>
      </c>
      <c r="AZ22" s="170">
        <f>IF(ISNA(VLOOKUP($AW22,Fielding!$B$5:$H$79,4,FALSE)),0,(VLOOKUP($AW22,Fielding!$B$5:$H$79,4,FALSE)))</f>
        <v>0</v>
      </c>
      <c r="BA22" s="170">
        <f>IF(ISNA(VLOOKUP($AW22,Fielding!$B$5:$H$79,5,FALSE)),0,(VLOOKUP($AW22,Fielding!$B$5:$H$79,5,FALSE)))</f>
        <v>0</v>
      </c>
      <c r="BC22" s="178">
        <f>IF(ISNA(VLOOKUP($AW22,Fielding!$B$5:$H$79,7,FALSE)),0,(VLOOKUP($AW22,Fielding!$B$5:$H$79,7,FALSE)))</f>
        <v>0</v>
      </c>
    </row>
    <row r="23" spans="1:55" ht="13.5" customHeight="1" x14ac:dyDescent="0.2">
      <c r="A23" s="119"/>
      <c r="B23" s="157">
        <f t="shared" si="14"/>
        <v>20</v>
      </c>
      <c r="C23" s="158" t="s">
        <v>273</v>
      </c>
      <c r="D23" s="159" t="s">
        <v>274</v>
      </c>
      <c r="E23" s="160">
        <f t="shared" si="15"/>
        <v>3</v>
      </c>
      <c r="F23" s="161">
        <f t="shared" si="16"/>
        <v>9</v>
      </c>
      <c r="G23" s="162">
        <f t="shared" si="17"/>
        <v>23</v>
      </c>
      <c r="H23" s="161">
        <f t="shared" si="18"/>
        <v>5.4</v>
      </c>
      <c r="I23" s="162">
        <f t="shared" si="19"/>
        <v>1</v>
      </c>
      <c r="J23" s="161">
        <f t="shared" si="20"/>
        <v>0</v>
      </c>
      <c r="K23" s="162" t="str">
        <f t="shared" si="21"/>
        <v/>
      </c>
      <c r="L23" s="117"/>
      <c r="M23" s="163">
        <f t="shared" si="22"/>
        <v>14.4</v>
      </c>
      <c r="N23" s="164">
        <f t="shared" si="28"/>
        <v>4.8</v>
      </c>
      <c r="P23" s="116"/>
      <c r="Q23" s="158" t="str">
        <f t="shared" si="23"/>
        <v>KANTH, Kiso</v>
      </c>
      <c r="R23" s="159" t="str">
        <f t="shared" si="24"/>
        <v>(SL)</v>
      </c>
      <c r="S23" s="170">
        <f>IF(ISNA(VLOOKUP($Q23,Batting!$B$5:$M$103,3,FALSE)),0,(VLOOKUP($Q23,Batting!$B$5:$M$103,3,FALSE)))</f>
        <v>3</v>
      </c>
      <c r="T23" s="171">
        <f>IF(ISNA(VLOOKUP($Q23,Batting!$B$5:$M$103,4,FALSE)),0,(VLOOKUP($Q23,Batting!$B$5:$M$103,4,FALSE)))</f>
        <v>2</v>
      </c>
      <c r="U23" s="171">
        <f>IF(ISNA(VLOOKUP($Q23,Batting!$B$5:$M$103,5,FALSE)),0,(VLOOKUP($Q23,Batting!$B$5:$M$103,5,FALSE)))</f>
        <v>0</v>
      </c>
      <c r="V23" s="171">
        <f>IF(ISNA(VLOOKUP($Q23,Batting!$B$5:$M$103,6,FALSE)),0,(VLOOKUP($Q23,Batting!$B$5:$M$103,6,FALSE)))</f>
        <v>23</v>
      </c>
      <c r="W23" s="172">
        <f>IF(ISNA(VLOOKUP($Q23,Batting!$B$5:$M$103,7,FALSE)),0,(VLOOKUP($Q23,Batting!$B$5:$M$103,7,FALSE)))</f>
        <v>23</v>
      </c>
      <c r="X23" s="171">
        <f>IF(ISNA(VLOOKUP($Q23,Batting!$B$5:$M$103,8,FALSE)),0,(VLOOKUP($Q23,Batting!$B$5:$M$103,8,FALSE)))</f>
        <v>0</v>
      </c>
      <c r="Y23" s="173">
        <f>IF(ISNA(VLOOKUP($Q23,Batting!$B$5:$M$103,9,FALSE)),0,(VLOOKUP($Q23,Batting!$B$5:$M$103,9,FALSE)))</f>
        <v>11.5</v>
      </c>
      <c r="Z23" s="194" t="str">
        <f>IF(ISNA(VLOOKUP($Q23,Batting!$B$5:$M$103,10,FALSE)),"",(VLOOKUP($Q23,Batting!$B$5:$M$103,10,FALSE)))</f>
        <v/>
      </c>
      <c r="AA23" s="121"/>
      <c r="AB23" s="174">
        <f>IF(ISNA(VLOOKUP($Q23,Batting!$B$5:$M$103,12,FALSE)),0,(VLOOKUP($Q23,Batting!$B$5:$M$103,12,FALSE)))</f>
        <v>9</v>
      </c>
      <c r="AD23" s="158" t="str">
        <f t="shared" si="25"/>
        <v>KANTH, Kiso</v>
      </c>
      <c r="AE23" s="159" t="str">
        <f t="shared" si="26"/>
        <v>(SL)</v>
      </c>
      <c r="AF23" s="170">
        <f>IF(ISNA(VLOOKUP($AD23,Bowling!$B$4:$S$36,3,FALSE)),0,(VLOOKUP($AD23,Bowling!$B$4:$S$36,3,FALSE)))</f>
        <v>3</v>
      </c>
      <c r="AG23" s="171">
        <f>IF(ISNA(VLOOKUP($AD23,Bowling!$B$4:$S$36,4,FALSE)),0,(VLOOKUP($AD23,Bowling!$B$4:$S$36,4,FALSE)))</f>
        <v>2</v>
      </c>
      <c r="AH23" s="175">
        <f>IF(ISNA(VLOOKUP($AD23,Bowling!$B$4:$S$36,5,FALSE)),0,(VLOOKUP($AD23,Bowling!$B$4:$S$36,5,FALSE)))</f>
        <v>10</v>
      </c>
      <c r="AI23" s="176">
        <f>IF(ISNA(VLOOKUP($AD23,Bowling!$B$4:$S$36,6,FALSE)),0,(VLOOKUP($AD23,Bowling!$B$4:$S$36,6,FALSE)))</f>
        <v>2</v>
      </c>
      <c r="AJ23" s="176">
        <f>IF(ISNA(VLOOKUP($AD23,Bowling!$B$4:$S$36,7,FALSE)),0,(VLOOKUP($AD23,Bowling!$B$4:$S$36,7,FALSE)))</f>
        <v>73</v>
      </c>
      <c r="AK23" s="176">
        <f>IF(ISNA(VLOOKUP($AD23,Bowling!$B$4:$S$36,8,FALSE)),0,(VLOOKUP($AD23,Bowling!$B$4:$S$36,8,FALSE)))</f>
        <v>1</v>
      </c>
      <c r="AL23" s="175">
        <f>IF(ISNA(VLOOKUP($AD23,Bowling!$B$4:$S$36,9,FALSE)),0,(VLOOKUP($AD23,Bowling!$B$4:$S$36,9,FALSE)))</f>
        <v>10</v>
      </c>
      <c r="AM23" s="175">
        <f>IF(ISNA(VLOOKUP($AD23,Bowling!$B$4:$S$36,10,FALSE)),0,(VLOOKUP($AD23,Bowling!$B$4:$S$36,10,FALSE)))</f>
        <v>7.3</v>
      </c>
      <c r="AN23" s="175">
        <f>IF(ISNA(VLOOKUP($AD23,Bowling!$B$4:$S$36,11,FALSE)),0,(VLOOKUP($AD23,Bowling!$B$4:$S$36,11,FALSE)))</f>
        <v>73</v>
      </c>
      <c r="AO23" s="134"/>
      <c r="AP23" s="170">
        <f>IF(ISNA(VLOOKUP($AD23,Bowling!$B$4:$S$36,13,FALSE)),0,(VLOOKUP($AD23,Bowling!$B$4:$S$36,13,FALSE)))</f>
        <v>0</v>
      </c>
      <c r="AQ23" s="170">
        <f>IF(ISNA(VLOOKUP($AD23,Bowling!$B$4:$S$36,14,FALSE)),0,(VLOOKUP($AD23,Bowling!$B$4:$S$36,14,FALSE)))</f>
        <v>0</v>
      </c>
      <c r="AR23" s="170">
        <f>IF(ISNA(VLOOKUP($AD23,Bowling!$B$4:$S$36,15,FALSE)),0,(VLOOKUP($AD23,Bowling!$B$4:$S$36,15,FALSE)))</f>
        <v>0</v>
      </c>
      <c r="AS23" s="170">
        <f>IF(ISNA(VLOOKUP($AD23,Bowling!$B$4:$S$36,16,FALSE)),0,(VLOOKUP($AD23,Bowling!$B$4:$S$36,16,FALSE)))</f>
        <v>0</v>
      </c>
      <c r="AT23" s="124"/>
      <c r="AU23" s="177">
        <f>IF(ISNA(VLOOKUP($AD23,Bowling!$B$4:$S$36,18,FALSE)),0,(VLOOKUP($AD23,Bowling!$B$4:$S$36,18,FALSE)))</f>
        <v>5.4</v>
      </c>
      <c r="AW23" s="158" t="str">
        <f t="shared" si="29"/>
        <v>KANTH, Kiso</v>
      </c>
      <c r="AX23" s="159" t="str">
        <f t="shared" si="27"/>
        <v>(SL)</v>
      </c>
      <c r="AY23" s="170">
        <f>IF(ISNA(VLOOKUP($AW23,Fielding!$B$5:$H$79,3,FALSE)),0,(VLOOKUP($AW23,Fielding!$B$5:$H$79,3,FALSE)))</f>
        <v>0</v>
      </c>
      <c r="AZ23" s="170">
        <f>IF(ISNA(VLOOKUP($AW23,Fielding!$B$5:$H$79,4,FALSE)),0,(VLOOKUP($AW23,Fielding!$B$5:$H$79,4,FALSE)))</f>
        <v>0</v>
      </c>
      <c r="BA23" s="170">
        <f>IF(ISNA(VLOOKUP($AW23,Fielding!$B$5:$H$79,5,FALSE)),0,(VLOOKUP($AW23,Fielding!$B$5:$H$79,5,FALSE)))</f>
        <v>0</v>
      </c>
      <c r="BC23" s="178">
        <f>IF(ISNA(VLOOKUP($AW23,Fielding!$B$5:$H$79,7,FALSE)),0,(VLOOKUP($AW23,Fielding!$B$5:$H$79,7,FALSE)))</f>
        <v>0</v>
      </c>
    </row>
    <row r="24" spans="1:55" ht="13.5" customHeight="1" x14ac:dyDescent="0.2">
      <c r="A24" s="119"/>
      <c r="B24" s="157">
        <f t="shared" si="14"/>
        <v>21</v>
      </c>
      <c r="C24" s="158" t="s">
        <v>272</v>
      </c>
      <c r="D24" s="159" t="s">
        <v>190</v>
      </c>
      <c r="E24" s="160">
        <f t="shared" si="15"/>
        <v>2</v>
      </c>
      <c r="F24" s="161">
        <f t="shared" si="16"/>
        <v>-6</v>
      </c>
      <c r="G24" s="162">
        <f t="shared" si="17"/>
        <v>8</v>
      </c>
      <c r="H24" s="161">
        <f t="shared" si="18"/>
        <v>20</v>
      </c>
      <c r="I24" s="162">
        <f t="shared" si="19"/>
        <v>1</v>
      </c>
      <c r="J24" s="161">
        <f t="shared" si="20"/>
        <v>0</v>
      </c>
      <c r="K24" s="162" t="str">
        <f t="shared" si="21"/>
        <v/>
      </c>
      <c r="L24" s="117"/>
      <c r="M24" s="163">
        <f t="shared" si="22"/>
        <v>14</v>
      </c>
      <c r="N24" s="164">
        <f t="shared" si="28"/>
        <v>7</v>
      </c>
      <c r="P24" s="116"/>
      <c r="Q24" s="158" t="str">
        <f t="shared" si="23"/>
        <v>SHARMA, Pawan</v>
      </c>
      <c r="R24" s="159" t="str">
        <f t="shared" si="24"/>
        <v>(IND)</v>
      </c>
      <c r="S24" s="170">
        <f>IF(ISNA(VLOOKUP($Q24,Batting!$B$5:$M$103,3,FALSE)),0,(VLOOKUP($Q24,Batting!$B$5:$M$103,3,FALSE)))</f>
        <v>2</v>
      </c>
      <c r="T24" s="171">
        <f>IF(ISNA(VLOOKUP($Q24,Batting!$B$5:$M$103,4,FALSE)),0,(VLOOKUP($Q24,Batting!$B$5:$M$103,4,FALSE)))</f>
        <v>2</v>
      </c>
      <c r="U24" s="171">
        <f>IF(ISNA(VLOOKUP($Q24,Batting!$B$5:$M$103,5,FALSE)),0,(VLOOKUP($Q24,Batting!$B$5:$M$103,5,FALSE)))</f>
        <v>0</v>
      </c>
      <c r="V24" s="171">
        <f>IF(ISNA(VLOOKUP($Q24,Batting!$B$5:$M$103,6,FALSE)),0,(VLOOKUP($Q24,Batting!$B$5:$M$103,6,FALSE)))</f>
        <v>8</v>
      </c>
      <c r="W24" s="172">
        <f>IF(ISNA(VLOOKUP($Q24,Batting!$B$5:$M$103,7,FALSE)),0,(VLOOKUP($Q24,Batting!$B$5:$M$103,7,FALSE)))</f>
        <v>8</v>
      </c>
      <c r="X24" s="171">
        <f>IF(ISNA(VLOOKUP($Q24,Batting!$B$5:$M$103,8,FALSE)),0,(VLOOKUP($Q24,Batting!$B$5:$M$103,8,FALSE)))</f>
        <v>0</v>
      </c>
      <c r="Y24" s="173">
        <f>IF(ISNA(VLOOKUP($Q24,Batting!$B$5:$M$103,9,FALSE)),0,(VLOOKUP($Q24,Batting!$B$5:$M$103,9,FALSE)))</f>
        <v>4</v>
      </c>
      <c r="Z24" s="194" t="str">
        <f>IF(ISNA(VLOOKUP($Q24,Batting!$B$5:$M$103,10,FALSE)),"",(VLOOKUP($Q24,Batting!$B$5:$M$103,10,FALSE)))</f>
        <v/>
      </c>
      <c r="AA24" s="121"/>
      <c r="AB24" s="174">
        <f>IF(ISNA(VLOOKUP($Q24,Batting!$B$5:$M$103,12,FALSE)),0,(VLOOKUP($Q24,Batting!$B$5:$M$103,12,FALSE)))</f>
        <v>-6</v>
      </c>
      <c r="AD24" s="158" t="str">
        <f t="shared" si="25"/>
        <v>SHARMA, Pawan</v>
      </c>
      <c r="AE24" s="159" t="str">
        <f t="shared" si="26"/>
        <v>(IND)</v>
      </c>
      <c r="AF24" s="170">
        <f>IF(ISNA(VLOOKUP($AD24,Bowling!$B$4:$S$36,3,FALSE)),0,(VLOOKUP($AD24,Bowling!$B$4:$S$36,3,FALSE)))</f>
        <v>2</v>
      </c>
      <c r="AG24" s="171">
        <f>IF(ISNA(VLOOKUP($AD24,Bowling!$B$4:$S$36,4,FALSE)),0,(VLOOKUP($AD24,Bowling!$B$4:$S$36,4,FALSE)))</f>
        <v>1</v>
      </c>
      <c r="AH24" s="175">
        <f>IF(ISNA(VLOOKUP($AD24,Bowling!$B$4:$S$36,5,FALSE)),0,(VLOOKUP($AD24,Bowling!$B$4:$S$36,5,FALSE)))</f>
        <v>1</v>
      </c>
      <c r="AI24" s="176">
        <f>IF(ISNA(VLOOKUP($AD24,Bowling!$B$4:$S$36,6,FALSE)),0,(VLOOKUP($AD24,Bowling!$B$4:$S$36,6,FALSE)))</f>
        <v>1</v>
      </c>
      <c r="AJ24" s="176">
        <f>IF(ISNA(VLOOKUP($AD24,Bowling!$B$4:$S$36,7,FALSE)),0,(VLOOKUP($AD24,Bowling!$B$4:$S$36,7,FALSE)))</f>
        <v>0</v>
      </c>
      <c r="AK24" s="176">
        <f>IF(ISNA(VLOOKUP($AD24,Bowling!$B$4:$S$36,8,FALSE)),0,(VLOOKUP($AD24,Bowling!$B$4:$S$36,8,FALSE)))</f>
        <v>1</v>
      </c>
      <c r="AL24" s="175">
        <f>IF(ISNA(VLOOKUP($AD24,Bowling!$B$4:$S$36,9,FALSE)),0,(VLOOKUP($AD24,Bowling!$B$4:$S$36,9,FALSE)))</f>
        <v>1</v>
      </c>
      <c r="AM24" s="175">
        <f>IF(ISNA(VLOOKUP($AD24,Bowling!$B$4:$S$36,10,FALSE)),0,(VLOOKUP($AD24,Bowling!$B$4:$S$36,10,FALSE)))</f>
        <v>0</v>
      </c>
      <c r="AN24" s="175">
        <f>IF(ISNA(VLOOKUP($AD24,Bowling!$B$4:$S$36,11,FALSE)),0,(VLOOKUP($AD24,Bowling!$B$4:$S$36,11,FALSE)))</f>
        <v>0</v>
      </c>
      <c r="AO24" s="134"/>
      <c r="AP24" s="170">
        <f>IF(ISNA(VLOOKUP($AD24,Bowling!$B$4:$S$36,13,FALSE)),0,(VLOOKUP($AD24,Bowling!$B$4:$S$36,13,FALSE)))</f>
        <v>0</v>
      </c>
      <c r="AQ24" s="170">
        <f>IF(ISNA(VLOOKUP($AD24,Bowling!$B$4:$S$36,14,FALSE)),0,(VLOOKUP($AD24,Bowling!$B$4:$S$36,14,FALSE)))</f>
        <v>0</v>
      </c>
      <c r="AR24" s="170">
        <f>IF(ISNA(VLOOKUP($AD24,Bowling!$B$4:$S$36,15,FALSE)),0,(VLOOKUP($AD24,Bowling!$B$4:$S$36,15,FALSE)))</f>
        <v>0</v>
      </c>
      <c r="AS24" s="170">
        <f>IF(ISNA(VLOOKUP($AD24,Bowling!$B$4:$S$36,16,FALSE)),0,(VLOOKUP($AD24,Bowling!$B$4:$S$36,16,FALSE)))</f>
        <v>0</v>
      </c>
      <c r="AT24" s="124"/>
      <c r="AU24" s="177">
        <f>IF(ISNA(VLOOKUP($AD24,Bowling!$B$4:$S$36,18,FALSE)),0,(VLOOKUP($AD24,Bowling!$B$4:$S$36,18,FALSE)))</f>
        <v>20</v>
      </c>
      <c r="AW24" s="158" t="str">
        <f t="shared" si="29"/>
        <v>SHARMA, Pawan</v>
      </c>
      <c r="AX24" s="159" t="str">
        <f t="shared" si="27"/>
        <v>(IND)</v>
      </c>
      <c r="AY24" s="170">
        <f>IF(ISNA(VLOOKUP($AW24,Fielding!$B$5:$H$79,3,FALSE)),0,(VLOOKUP($AW24,Fielding!$B$5:$H$79,3,FALSE)))</f>
        <v>0</v>
      </c>
      <c r="AZ24" s="170">
        <f>IF(ISNA(VLOOKUP($AW24,Fielding!$B$5:$H$79,4,FALSE)),0,(VLOOKUP($AW24,Fielding!$B$5:$H$79,4,FALSE)))</f>
        <v>0</v>
      </c>
      <c r="BA24" s="170">
        <f>IF(ISNA(VLOOKUP($AW24,Fielding!$B$5:$H$79,5,FALSE)),0,(VLOOKUP($AW24,Fielding!$B$5:$H$79,5,FALSE)))</f>
        <v>0</v>
      </c>
      <c r="BC24" s="178">
        <f>IF(ISNA(VLOOKUP($AW24,Fielding!$B$5:$H$79,7,FALSE)),0,(VLOOKUP($AW24,Fielding!$B$5:$H$79,7,FALSE)))</f>
        <v>0</v>
      </c>
    </row>
    <row r="25" spans="1:55" ht="13.5" customHeight="1" x14ac:dyDescent="0.2">
      <c r="A25" s="119"/>
      <c r="B25" s="157">
        <f t="shared" si="14"/>
        <v>22</v>
      </c>
      <c r="C25" s="158" t="s">
        <v>286</v>
      </c>
      <c r="D25" s="159" t="s">
        <v>285</v>
      </c>
      <c r="E25" s="160">
        <f t="shared" si="15"/>
        <v>1</v>
      </c>
      <c r="F25" s="161" t="str">
        <f t="shared" si="16"/>
        <v>0</v>
      </c>
      <c r="G25" s="162" t="str">
        <f t="shared" si="17"/>
        <v>-</v>
      </c>
      <c r="H25" s="161">
        <f t="shared" si="18"/>
        <v>12</v>
      </c>
      <c r="I25" s="162">
        <f t="shared" si="19"/>
        <v>1</v>
      </c>
      <c r="J25" s="161">
        <f t="shared" si="20"/>
        <v>0</v>
      </c>
      <c r="K25" s="162" t="str">
        <f t="shared" si="21"/>
        <v/>
      </c>
      <c r="L25" s="117"/>
      <c r="M25" s="163">
        <f t="shared" si="22"/>
        <v>12</v>
      </c>
      <c r="N25" s="164">
        <f t="shared" si="28"/>
        <v>12</v>
      </c>
      <c r="P25" s="116"/>
      <c r="Q25" s="158" t="str">
        <f t="shared" si="23"/>
        <v>GREENING, Ed</v>
      </c>
      <c r="R25" s="159" t="str">
        <f t="shared" si="24"/>
        <v>(WAL)</v>
      </c>
      <c r="S25" s="170">
        <f>IF(ISNA(VLOOKUP($Q25,Batting!$B$5:$M$103,3,FALSE)),0,(VLOOKUP($Q25,Batting!$B$5:$M$103,3,FALSE)))</f>
        <v>1</v>
      </c>
      <c r="T25" s="171" t="str">
        <f>IF(ISNA(VLOOKUP($Q25,Batting!$B$5:$M$103,4,FALSE)),0,(VLOOKUP($Q25,Batting!$B$5:$M$103,4,FALSE)))</f>
        <v>-</v>
      </c>
      <c r="U25" s="171" t="str">
        <f>IF(ISNA(VLOOKUP($Q25,Batting!$B$5:$M$103,5,FALSE)),0,(VLOOKUP($Q25,Batting!$B$5:$M$103,5,FALSE)))</f>
        <v>-</v>
      </c>
      <c r="V25" s="171" t="str">
        <f>IF(ISNA(VLOOKUP($Q25,Batting!$B$5:$M$103,6,FALSE)),0,(VLOOKUP($Q25,Batting!$B$5:$M$103,6,FALSE)))</f>
        <v>-</v>
      </c>
      <c r="W25" s="172" t="str">
        <f>IF(ISNA(VLOOKUP($Q25,Batting!$B$5:$M$103,7,FALSE)),0,(VLOOKUP($Q25,Batting!$B$5:$M$103,7,FALSE)))</f>
        <v>-</v>
      </c>
      <c r="X25" s="171">
        <f>IF(ISNA(VLOOKUP($Q25,Batting!$B$5:$M$103,8,FALSE)),0,(VLOOKUP($Q25,Batting!$B$5:$M$103,8,FALSE)))</f>
        <v>0</v>
      </c>
      <c r="Y25" s="173" t="str">
        <f>IF(ISNA(VLOOKUP($Q25,Batting!$B$5:$M$103,9,FALSE)),0,(VLOOKUP($Q25,Batting!$B$5:$M$103,9,FALSE)))</f>
        <v>-</v>
      </c>
      <c r="Z25" s="194" t="e">
        <f>IF(ISNA(VLOOKUP($Q25,Batting!$B$5:$M$103,10,FALSE)),"",(VLOOKUP($Q25,Batting!$B$5:$M$103,10,FALSE)))</f>
        <v>#VALUE!</v>
      </c>
      <c r="AA25" s="121"/>
      <c r="AB25" s="174" t="str">
        <f>IF(ISNA(VLOOKUP($Q25,Batting!$B$5:$M$103,12,FALSE)),0,(VLOOKUP($Q25,Batting!$B$5:$M$103,12,FALSE)))</f>
        <v>0</v>
      </c>
      <c r="AD25" s="158" t="str">
        <f t="shared" si="25"/>
        <v>GREENING, Ed</v>
      </c>
      <c r="AE25" s="159" t="str">
        <f t="shared" si="26"/>
        <v>(WAL)</v>
      </c>
      <c r="AF25" s="170">
        <f>IF(ISNA(VLOOKUP($AD25,Bowling!$B$4:$S$36,3,FALSE)),0,(VLOOKUP($AD25,Bowling!$B$4:$S$36,3,FALSE)))</f>
        <v>1</v>
      </c>
      <c r="AG25" s="171">
        <f>IF(ISNA(VLOOKUP($AD25,Bowling!$B$4:$S$36,4,FALSE)),0,(VLOOKUP($AD25,Bowling!$B$4:$S$36,4,FALSE)))</f>
        <v>1</v>
      </c>
      <c r="AH25" s="175">
        <f>IF(ISNA(VLOOKUP($AD25,Bowling!$B$4:$S$36,5,FALSE)),0,(VLOOKUP($AD25,Bowling!$B$4:$S$36,5,FALSE)))</f>
        <v>3.4</v>
      </c>
      <c r="AI25" s="176">
        <f>IF(ISNA(VLOOKUP($AD25,Bowling!$B$4:$S$36,6,FALSE)),0,(VLOOKUP($AD25,Bowling!$B$4:$S$36,6,FALSE)))</f>
        <v>0</v>
      </c>
      <c r="AJ25" s="176">
        <f>IF(ISNA(VLOOKUP($AD25,Bowling!$B$4:$S$36,7,FALSE)),0,(VLOOKUP($AD25,Bowling!$B$4:$S$36,7,FALSE)))</f>
        <v>40</v>
      </c>
      <c r="AK25" s="176">
        <f>IF(ISNA(VLOOKUP($AD25,Bowling!$B$4:$S$36,8,FALSE)),0,(VLOOKUP($AD25,Bowling!$B$4:$S$36,8,FALSE)))</f>
        <v>1</v>
      </c>
      <c r="AL25" s="175">
        <f>IF(ISNA(VLOOKUP($AD25,Bowling!$B$4:$S$36,9,FALSE)),0,(VLOOKUP($AD25,Bowling!$B$4:$S$36,9,FALSE)))</f>
        <v>3.4</v>
      </c>
      <c r="AM25" s="175">
        <f>IF(ISNA(VLOOKUP($AD25,Bowling!$B$4:$S$36,10,FALSE)),0,(VLOOKUP($AD25,Bowling!$B$4:$S$36,10,FALSE)))</f>
        <v>11.764705882352942</v>
      </c>
      <c r="AN25" s="175">
        <f>IF(ISNA(VLOOKUP($AD25,Bowling!$B$4:$S$36,11,FALSE)),0,(VLOOKUP($AD25,Bowling!$B$4:$S$36,11,FALSE)))</f>
        <v>40</v>
      </c>
      <c r="AO25" s="134"/>
      <c r="AP25" s="170">
        <f>IF(ISNA(VLOOKUP($AD25,Bowling!$B$4:$S$36,13,FALSE)),0,(VLOOKUP($AD25,Bowling!$B$4:$S$36,13,FALSE)))</f>
        <v>0</v>
      </c>
      <c r="AQ25" s="170">
        <f>IF(ISNA(VLOOKUP($AD25,Bowling!$B$4:$S$36,14,FALSE)),0,(VLOOKUP($AD25,Bowling!$B$4:$S$36,14,FALSE)))</f>
        <v>0</v>
      </c>
      <c r="AR25" s="170">
        <f>IF(ISNA(VLOOKUP($AD25,Bowling!$B$4:$S$36,15,FALSE)),0,(VLOOKUP($AD25,Bowling!$B$4:$S$36,15,FALSE)))</f>
        <v>0</v>
      </c>
      <c r="AS25" s="170">
        <f>IF(ISNA(VLOOKUP($AD25,Bowling!$B$4:$S$36,16,FALSE)),0,(VLOOKUP($AD25,Bowling!$B$4:$S$36,16,FALSE)))</f>
        <v>0</v>
      </c>
      <c r="AT25" s="124"/>
      <c r="AU25" s="177">
        <f>IF(ISNA(VLOOKUP($AD25,Bowling!$B$4:$S$36,18,FALSE)),0,(VLOOKUP($AD25,Bowling!$B$4:$S$36,18,FALSE)))</f>
        <v>12</v>
      </c>
      <c r="AW25" s="158" t="str">
        <f t="shared" si="29"/>
        <v>GREENING, Ed</v>
      </c>
      <c r="AX25" s="159" t="str">
        <f t="shared" si="27"/>
        <v>(WAL)</v>
      </c>
      <c r="AY25" s="170">
        <f>IF(ISNA(VLOOKUP($AW25,Fielding!$B$5:$H$79,3,FALSE)),0,(VLOOKUP($AW25,Fielding!$B$5:$H$79,3,FALSE)))</f>
        <v>0</v>
      </c>
      <c r="AZ25" s="170">
        <f>IF(ISNA(VLOOKUP($AW25,Fielding!$B$5:$H$79,4,FALSE)),0,(VLOOKUP($AW25,Fielding!$B$5:$H$79,4,FALSE)))</f>
        <v>0</v>
      </c>
      <c r="BA25" s="170">
        <f>IF(ISNA(VLOOKUP($AW25,Fielding!$B$5:$H$79,5,FALSE)),0,(VLOOKUP($AW25,Fielding!$B$5:$H$79,5,FALSE)))</f>
        <v>0</v>
      </c>
      <c r="BC25" s="178">
        <f>IF(ISNA(VLOOKUP($AW25,Fielding!$B$5:$H$79,7,FALSE)),0,(VLOOKUP($AW25,Fielding!$B$5:$H$79,7,FALSE)))</f>
        <v>0</v>
      </c>
    </row>
    <row r="26" spans="1:55" ht="13.5" customHeight="1" x14ac:dyDescent="0.2">
      <c r="A26" s="119"/>
      <c r="B26" s="157">
        <f t="shared" si="14"/>
        <v>23</v>
      </c>
      <c r="C26" s="158" t="s">
        <v>279</v>
      </c>
      <c r="D26" s="159" t="s">
        <v>280</v>
      </c>
      <c r="E26" s="160">
        <f t="shared" si="15"/>
        <v>1</v>
      </c>
      <c r="F26" s="161">
        <f t="shared" si="16"/>
        <v>-7</v>
      </c>
      <c r="G26" s="162" t="str">
        <f t="shared" si="17"/>
        <v/>
      </c>
      <c r="H26" s="161">
        <f t="shared" si="18"/>
        <v>18.2</v>
      </c>
      <c r="I26" s="162">
        <f t="shared" si="19"/>
        <v>1</v>
      </c>
      <c r="J26" s="161">
        <f t="shared" si="20"/>
        <v>0</v>
      </c>
      <c r="K26" s="162" t="str">
        <f t="shared" si="21"/>
        <v/>
      </c>
      <c r="L26" s="117"/>
      <c r="M26" s="163">
        <f t="shared" si="22"/>
        <v>11.2</v>
      </c>
      <c r="N26" s="164">
        <f t="shared" si="28"/>
        <v>11.2</v>
      </c>
      <c r="P26" s="124"/>
      <c r="Q26" s="158" t="str">
        <f t="shared" si="23"/>
        <v>WARNER, Kupa</v>
      </c>
      <c r="R26" s="159" t="str">
        <f t="shared" si="24"/>
        <v>(PNG)</v>
      </c>
      <c r="S26" s="170">
        <f>IF(ISNA(VLOOKUP($Q26,Batting!$B$5:$M$103,3,FALSE)),0,(VLOOKUP($Q26,Batting!$B$5:$M$103,3,FALSE)))</f>
        <v>1</v>
      </c>
      <c r="T26" s="171">
        <f>IF(ISNA(VLOOKUP($Q26,Batting!$B$5:$M$103,4,FALSE)),0,(VLOOKUP($Q26,Batting!$B$5:$M$103,4,FALSE)))</f>
        <v>1</v>
      </c>
      <c r="U26" s="171">
        <f>IF(ISNA(VLOOKUP($Q26,Batting!$B$5:$M$103,5,FALSE)),0,(VLOOKUP($Q26,Batting!$B$5:$M$103,5,FALSE)))</f>
        <v>0</v>
      </c>
      <c r="V26" s="171">
        <f>IF(ISNA(VLOOKUP($Q26,Batting!$B$5:$M$103,6,FALSE)),0,(VLOOKUP($Q26,Batting!$B$5:$M$103,6,FALSE)))</f>
        <v>0</v>
      </c>
      <c r="W26" s="172">
        <f>IF(ISNA(VLOOKUP($Q26,Batting!$B$5:$M$103,7,FALSE)),0,(VLOOKUP($Q26,Batting!$B$5:$M$103,7,FALSE)))</f>
        <v>0</v>
      </c>
      <c r="X26" s="171">
        <f>IF(ISNA(VLOOKUP($Q26,Batting!$B$5:$M$103,8,FALSE)),0,(VLOOKUP($Q26,Batting!$B$5:$M$103,8,FALSE)))</f>
        <v>0</v>
      </c>
      <c r="Y26" s="173">
        <f>IF(ISNA(VLOOKUP($Q26,Batting!$B$5:$M$103,9,FALSE)),0,(VLOOKUP($Q26,Batting!$B$5:$M$103,9,FALSE)))</f>
        <v>0</v>
      </c>
      <c r="Z26" s="194" t="str">
        <f>IF(ISNA(VLOOKUP($Q26,Batting!$B$5:$M$103,10,FALSE)),"",(VLOOKUP($Q26,Batting!$B$5:$M$103,10,FALSE)))</f>
        <v/>
      </c>
      <c r="AA26" s="121"/>
      <c r="AB26" s="174">
        <f>IF(ISNA(VLOOKUP($Q26,Batting!$B$5:$M$103,12,FALSE)),0,(VLOOKUP($Q26,Batting!$B$5:$M$103,12,FALSE)))</f>
        <v>-7</v>
      </c>
      <c r="AD26" s="158" t="str">
        <f t="shared" si="25"/>
        <v>WARNER, Kupa</v>
      </c>
      <c r="AE26" s="159" t="str">
        <f t="shared" si="26"/>
        <v>(PNG)</v>
      </c>
      <c r="AF26" s="170">
        <f>IF(ISNA(VLOOKUP($AD26,Bowling!$B$4:$S$36,3,FALSE)),0,(VLOOKUP($AD26,Bowling!$B$4:$S$36,3,FALSE)))</f>
        <v>1</v>
      </c>
      <c r="AG26" s="171">
        <f>IF(ISNA(VLOOKUP($AD26,Bowling!$B$4:$S$36,4,FALSE)),0,(VLOOKUP($AD26,Bowling!$B$4:$S$36,4,FALSE)))</f>
        <v>1</v>
      </c>
      <c r="AH26" s="175">
        <f>IF(ISNA(VLOOKUP($AD26,Bowling!$B$4:$S$36,5,FALSE)),0,(VLOOKUP($AD26,Bowling!$B$4:$S$36,5,FALSE)))</f>
        <v>1</v>
      </c>
      <c r="AI26" s="176">
        <f>IF(ISNA(VLOOKUP($AD26,Bowling!$B$4:$S$36,6,FALSE)),0,(VLOOKUP($AD26,Bowling!$B$4:$S$36,6,FALSE)))</f>
        <v>0</v>
      </c>
      <c r="AJ26" s="176">
        <f>IF(ISNA(VLOOKUP($AD26,Bowling!$B$4:$S$36,7,FALSE)),0,(VLOOKUP($AD26,Bowling!$B$4:$S$36,7,FALSE)))</f>
        <v>9</v>
      </c>
      <c r="AK26" s="176">
        <f>IF(ISNA(VLOOKUP($AD26,Bowling!$B$4:$S$36,8,FALSE)),0,(VLOOKUP($AD26,Bowling!$B$4:$S$36,8,FALSE)))</f>
        <v>1</v>
      </c>
      <c r="AL26" s="175">
        <f>IF(ISNA(VLOOKUP($AD26,Bowling!$B$4:$S$36,9,FALSE)),0,(VLOOKUP($AD26,Bowling!$B$4:$S$36,9,FALSE)))</f>
        <v>1</v>
      </c>
      <c r="AM26" s="175">
        <f>IF(ISNA(VLOOKUP($AD26,Bowling!$B$4:$S$36,10,FALSE)),0,(VLOOKUP($AD26,Bowling!$B$4:$S$36,10,FALSE)))</f>
        <v>9</v>
      </c>
      <c r="AN26" s="175">
        <f>IF(ISNA(VLOOKUP($AD26,Bowling!$B$4:$S$36,11,FALSE)),0,(VLOOKUP($AD26,Bowling!$B$4:$S$36,11,FALSE)))</f>
        <v>9</v>
      </c>
      <c r="AO26" s="134"/>
      <c r="AP26" s="170">
        <f>IF(ISNA(VLOOKUP($AD26,Bowling!$B$4:$S$36,13,FALSE)),0,(VLOOKUP($AD26,Bowling!$B$4:$S$36,13,FALSE)))</f>
        <v>0</v>
      </c>
      <c r="AQ26" s="170">
        <f>IF(ISNA(VLOOKUP($AD26,Bowling!$B$4:$S$36,14,FALSE)),0,(VLOOKUP($AD26,Bowling!$B$4:$S$36,14,FALSE)))</f>
        <v>0</v>
      </c>
      <c r="AR26" s="170">
        <f>IF(ISNA(VLOOKUP($AD26,Bowling!$B$4:$S$36,15,FALSE)),0,(VLOOKUP($AD26,Bowling!$B$4:$S$36,15,FALSE)))</f>
        <v>0</v>
      </c>
      <c r="AS26" s="170">
        <f>IF(ISNA(VLOOKUP($AD26,Bowling!$B$4:$S$36,16,FALSE)),0,(VLOOKUP($AD26,Bowling!$B$4:$S$36,16,FALSE)))</f>
        <v>0</v>
      </c>
      <c r="AT26" s="124"/>
      <c r="AU26" s="177">
        <f>IF(ISNA(VLOOKUP($AD26,Bowling!$B$4:$S$36,18,FALSE)),0,(VLOOKUP($AD26,Bowling!$B$4:$S$36,18,FALSE)))</f>
        <v>18.2</v>
      </c>
      <c r="AW26" s="158" t="str">
        <f t="shared" si="29"/>
        <v>WARNER, Kupa</v>
      </c>
      <c r="AX26" s="159" t="str">
        <f t="shared" si="27"/>
        <v>(PNG)</v>
      </c>
      <c r="AY26" s="170">
        <f>IF(ISNA(VLOOKUP($AW26,Fielding!$B$5:$H$79,3,FALSE)),0,(VLOOKUP($AW26,Fielding!$B$5:$H$79,3,FALSE)))</f>
        <v>0</v>
      </c>
      <c r="AZ26" s="170">
        <f>IF(ISNA(VLOOKUP($AW26,Fielding!$B$5:$H$79,4,FALSE)),0,(VLOOKUP($AW26,Fielding!$B$5:$H$79,4,FALSE)))</f>
        <v>0</v>
      </c>
      <c r="BA26" s="170">
        <f>IF(ISNA(VLOOKUP($AW26,Fielding!$B$5:$H$79,5,FALSE)),0,(VLOOKUP($AW26,Fielding!$B$5:$H$79,5,FALSE)))</f>
        <v>0</v>
      </c>
      <c r="BC26" s="178">
        <f>IF(ISNA(VLOOKUP($AW26,Fielding!$B$5:$H$79,7,FALSE)),0,(VLOOKUP($AW26,Fielding!$B$5:$H$79,7,FALSE)))</f>
        <v>0</v>
      </c>
    </row>
    <row r="27" spans="1:55" ht="13.5" customHeight="1" x14ac:dyDescent="0.2">
      <c r="A27" s="119"/>
      <c r="B27" s="157">
        <f t="shared" si="14"/>
        <v>24</v>
      </c>
      <c r="C27" s="158" t="s">
        <v>218</v>
      </c>
      <c r="D27" s="159" t="s">
        <v>222</v>
      </c>
      <c r="E27" s="160">
        <f t="shared" si="15"/>
        <v>1</v>
      </c>
      <c r="F27" s="161">
        <f t="shared" si="16"/>
        <v>5</v>
      </c>
      <c r="G27" s="162">
        <f t="shared" si="17"/>
        <v>12</v>
      </c>
      <c r="H27" s="161">
        <f t="shared" si="18"/>
        <v>-4.5999999999999996</v>
      </c>
      <c r="I27" s="162" t="str">
        <f t="shared" si="19"/>
        <v/>
      </c>
      <c r="J27" s="161">
        <f t="shared" si="20"/>
        <v>0</v>
      </c>
      <c r="K27" s="162" t="str">
        <f t="shared" si="21"/>
        <v/>
      </c>
      <c r="L27" s="117"/>
      <c r="M27" s="163">
        <f t="shared" si="22"/>
        <v>0.40000000000000036</v>
      </c>
      <c r="N27" s="164">
        <f t="shared" si="28"/>
        <v>0.40000000000000036</v>
      </c>
      <c r="P27" s="116"/>
      <c r="Q27" s="158" t="str">
        <f t="shared" si="23"/>
        <v>AHMAD, Danyal</v>
      </c>
      <c r="R27" s="159" t="str">
        <f t="shared" si="24"/>
        <v>(PAK)</v>
      </c>
      <c r="S27" s="170">
        <f>IF(ISNA(VLOOKUP($Q27,Batting!$B$5:$M$103,3,FALSE)),0,(VLOOKUP($Q27,Batting!$B$5:$M$103,3,FALSE)))</f>
        <v>1</v>
      </c>
      <c r="T27" s="171">
        <f>IF(ISNA(VLOOKUP($Q27,Batting!$B$5:$M$103,4,FALSE)),0,(VLOOKUP($Q27,Batting!$B$5:$M$103,4,FALSE)))</f>
        <v>1</v>
      </c>
      <c r="U27" s="171">
        <f>IF(ISNA(VLOOKUP($Q27,Batting!$B$5:$M$103,5,FALSE)),0,(VLOOKUP($Q27,Batting!$B$5:$M$103,5,FALSE)))</f>
        <v>0</v>
      </c>
      <c r="V27" s="171">
        <f>IF(ISNA(VLOOKUP($Q27,Batting!$B$5:$M$103,6,FALSE)),0,(VLOOKUP($Q27,Batting!$B$5:$M$103,6,FALSE)))</f>
        <v>12</v>
      </c>
      <c r="W27" s="172">
        <f>IF(ISNA(VLOOKUP($Q27,Batting!$B$5:$M$103,7,FALSE)),0,(VLOOKUP($Q27,Batting!$B$5:$M$103,7,FALSE)))</f>
        <v>12</v>
      </c>
      <c r="X27" s="171">
        <f>IF(ISNA(VLOOKUP($Q27,Batting!$B$5:$M$103,8,FALSE)),0,(VLOOKUP($Q27,Batting!$B$5:$M$103,8,FALSE)))</f>
        <v>0</v>
      </c>
      <c r="Y27" s="173">
        <f>IF(ISNA(VLOOKUP($Q27,Batting!$B$5:$M$103,9,FALSE)),0,(VLOOKUP($Q27,Batting!$B$5:$M$103,9,FALSE)))</f>
        <v>12</v>
      </c>
      <c r="Z27" s="194" t="str">
        <f>IF(ISNA(VLOOKUP($Q27,Batting!$B$5:$M$103,10,FALSE)),"",(VLOOKUP($Q27,Batting!$B$5:$M$103,10,FALSE)))</f>
        <v/>
      </c>
      <c r="AA27" s="121"/>
      <c r="AB27" s="174">
        <f>IF(ISNA(VLOOKUP($Q27,Batting!$B$5:$M$103,12,FALSE)),0,(VLOOKUP($Q27,Batting!$B$5:$M$103,12,FALSE)))</f>
        <v>5</v>
      </c>
      <c r="AD27" s="158" t="str">
        <f t="shared" si="25"/>
        <v>AHMAD, Danyal</v>
      </c>
      <c r="AE27" s="159" t="str">
        <f t="shared" si="26"/>
        <v>(PAK)</v>
      </c>
      <c r="AF27" s="170">
        <f>IF(ISNA(VLOOKUP($AD27,Bowling!$B$4:$S$36,3,FALSE)),0,(VLOOKUP($AD27,Bowling!$B$4:$S$36,3,FALSE)))</f>
        <v>1</v>
      </c>
      <c r="AG27" s="171">
        <f>IF(ISNA(VLOOKUP($AD27,Bowling!$B$4:$S$36,4,FALSE)),0,(VLOOKUP($AD27,Bowling!$B$4:$S$36,4,FALSE)))</f>
        <v>1</v>
      </c>
      <c r="AH27" s="175">
        <f>IF(ISNA(VLOOKUP($AD27,Bowling!$B$4:$S$36,5,FALSE)),0,(VLOOKUP($AD27,Bowling!$B$4:$S$36,5,FALSE)))</f>
        <v>3</v>
      </c>
      <c r="AI27" s="176">
        <f>IF(ISNA(VLOOKUP($AD27,Bowling!$B$4:$S$36,6,FALSE)),0,(VLOOKUP($AD27,Bowling!$B$4:$S$36,6,FALSE)))</f>
        <v>0</v>
      </c>
      <c r="AJ27" s="176">
        <f>IF(ISNA(VLOOKUP($AD27,Bowling!$B$4:$S$36,7,FALSE)),0,(VLOOKUP($AD27,Bowling!$B$4:$S$36,7,FALSE)))</f>
        <v>23</v>
      </c>
      <c r="AK27" s="176">
        <f>IF(ISNA(VLOOKUP($AD27,Bowling!$B$4:$S$36,8,FALSE)),0,(VLOOKUP($AD27,Bowling!$B$4:$S$36,8,FALSE)))</f>
        <v>0</v>
      </c>
      <c r="AL27" s="175" t="str">
        <f>IF(ISNA(VLOOKUP($AD27,Bowling!$B$4:$S$36,9,FALSE)),0,(VLOOKUP($AD27,Bowling!$B$4:$S$36,9,FALSE)))</f>
        <v>-</v>
      </c>
      <c r="AM27" s="175">
        <f>IF(ISNA(VLOOKUP($AD27,Bowling!$B$4:$S$36,10,FALSE)),0,(VLOOKUP($AD27,Bowling!$B$4:$S$36,10,FALSE)))</f>
        <v>7.666666666666667</v>
      </c>
      <c r="AN27" s="175" t="str">
        <f>IF(ISNA(VLOOKUP($AD27,Bowling!$B$4:$S$36,11,FALSE)),0,(VLOOKUP($AD27,Bowling!$B$4:$S$36,11,FALSE)))</f>
        <v>-</v>
      </c>
      <c r="AO27" s="134"/>
      <c r="AP27" s="170">
        <f>IF(ISNA(VLOOKUP($AD27,Bowling!$B$4:$S$36,13,FALSE)),0,(VLOOKUP($AD27,Bowling!$B$4:$S$36,13,FALSE)))</f>
        <v>0</v>
      </c>
      <c r="AQ27" s="170">
        <f>IF(ISNA(VLOOKUP($AD27,Bowling!$B$4:$S$36,14,FALSE)),0,(VLOOKUP($AD27,Bowling!$B$4:$S$36,14,FALSE)))</f>
        <v>0</v>
      </c>
      <c r="AR27" s="170">
        <f>IF(ISNA(VLOOKUP($AD27,Bowling!$B$4:$S$36,15,FALSE)),0,(VLOOKUP($AD27,Bowling!$B$4:$S$36,15,FALSE)))</f>
        <v>0</v>
      </c>
      <c r="AS27" s="170">
        <f>IF(ISNA(VLOOKUP($AD27,Bowling!$B$4:$S$36,16,FALSE)),0,(VLOOKUP($AD27,Bowling!$B$4:$S$36,16,FALSE)))</f>
        <v>0</v>
      </c>
      <c r="AT27" s="124"/>
      <c r="AU27" s="177">
        <f>IF(ISNA(VLOOKUP($AD27,Bowling!$B$4:$S$36,18,FALSE)),0,(VLOOKUP($AD27,Bowling!$B$4:$S$36,18,FALSE)))</f>
        <v>-4.5999999999999996</v>
      </c>
      <c r="AW27" s="158" t="str">
        <f t="shared" si="29"/>
        <v>AHMAD, Danyal</v>
      </c>
      <c r="AX27" s="159" t="str">
        <f t="shared" si="27"/>
        <v>(PAK)</v>
      </c>
      <c r="AY27" s="170">
        <f>IF(ISNA(VLOOKUP($AW27,Fielding!$B$5:$H$79,3,FALSE)),0,(VLOOKUP($AW27,Fielding!$B$5:$H$79,3,FALSE)))</f>
        <v>0</v>
      </c>
      <c r="AZ27" s="170">
        <f>IF(ISNA(VLOOKUP($AW27,Fielding!$B$5:$H$79,4,FALSE)),0,(VLOOKUP($AW27,Fielding!$B$5:$H$79,4,FALSE)))</f>
        <v>0</v>
      </c>
      <c r="BA27" s="170">
        <f>IF(ISNA(VLOOKUP($AW27,Fielding!$B$5:$H$79,5,FALSE)),0,(VLOOKUP($AW27,Fielding!$B$5:$H$79,5,FALSE)))</f>
        <v>0</v>
      </c>
      <c r="BC27" s="178">
        <f>IF(ISNA(VLOOKUP($AW27,Fielding!$B$5:$H$79,7,FALSE)),0,(VLOOKUP($AW27,Fielding!$B$5:$H$79,7,FALSE)))</f>
        <v>0</v>
      </c>
    </row>
    <row r="28" spans="1:55" ht="13.5" customHeight="1" x14ac:dyDescent="0.2">
      <c r="A28" s="119"/>
      <c r="B28" s="157">
        <f t="shared" si="14"/>
        <v>25</v>
      </c>
      <c r="C28" s="158" t="s">
        <v>219</v>
      </c>
      <c r="D28" s="159" t="s">
        <v>191</v>
      </c>
      <c r="E28" s="160">
        <f t="shared" si="15"/>
        <v>1</v>
      </c>
      <c r="F28" s="161">
        <f t="shared" si="16"/>
        <v>2</v>
      </c>
      <c r="G28" s="162">
        <f t="shared" si="17"/>
        <v>9</v>
      </c>
      <c r="H28" s="161">
        <f t="shared" si="18"/>
        <v>-4.5999999999999996</v>
      </c>
      <c r="I28" s="162" t="str">
        <f t="shared" si="19"/>
        <v/>
      </c>
      <c r="J28" s="161">
        <f t="shared" si="20"/>
        <v>0</v>
      </c>
      <c r="K28" s="162" t="str">
        <f t="shared" si="21"/>
        <v/>
      </c>
      <c r="L28" s="117"/>
      <c r="M28" s="163">
        <f t="shared" si="22"/>
        <v>-2.5999999999999996</v>
      </c>
      <c r="N28" s="164">
        <f t="shared" si="28"/>
        <v>-2.5999999999999996</v>
      </c>
      <c r="P28" s="116"/>
      <c r="Q28" s="158" t="str">
        <f t="shared" si="23"/>
        <v>FORD, Terrence</v>
      </c>
      <c r="R28" s="159" t="str">
        <f t="shared" si="24"/>
        <v>(ENG)</v>
      </c>
      <c r="S28" s="170">
        <f>IF(ISNA(VLOOKUP($Q28,Batting!$B$5:$M$103,3,FALSE)),0,(VLOOKUP($Q28,Batting!$B$5:$M$103,3,FALSE)))</f>
        <v>1</v>
      </c>
      <c r="T28" s="171">
        <f>IF(ISNA(VLOOKUP($Q28,Batting!$B$5:$M$103,4,FALSE)),0,(VLOOKUP($Q28,Batting!$B$5:$M$103,4,FALSE)))</f>
        <v>1</v>
      </c>
      <c r="U28" s="171">
        <f>IF(ISNA(VLOOKUP($Q28,Batting!$B$5:$M$103,5,FALSE)),0,(VLOOKUP($Q28,Batting!$B$5:$M$103,5,FALSE)))</f>
        <v>0</v>
      </c>
      <c r="V28" s="171">
        <f>IF(ISNA(VLOOKUP($Q28,Batting!$B$5:$M$103,6,FALSE)),0,(VLOOKUP($Q28,Batting!$B$5:$M$103,6,FALSE)))</f>
        <v>9</v>
      </c>
      <c r="W28" s="172">
        <f>IF(ISNA(VLOOKUP($Q28,Batting!$B$5:$M$103,7,FALSE)),0,(VLOOKUP($Q28,Batting!$B$5:$M$103,7,FALSE)))</f>
        <v>9</v>
      </c>
      <c r="X28" s="171">
        <f>IF(ISNA(VLOOKUP($Q28,Batting!$B$5:$M$103,8,FALSE)),0,(VLOOKUP($Q28,Batting!$B$5:$M$103,8,FALSE)))</f>
        <v>0</v>
      </c>
      <c r="Y28" s="173">
        <f>IF(ISNA(VLOOKUP($Q28,Batting!$B$5:$M$103,9,FALSE)),0,(VLOOKUP($Q28,Batting!$B$5:$M$103,9,FALSE)))</f>
        <v>9</v>
      </c>
      <c r="Z28" s="194" t="str">
        <f>IF(ISNA(VLOOKUP($Q28,Batting!$B$5:$M$103,10,FALSE)),"",(VLOOKUP($Q28,Batting!$B$5:$M$103,10,FALSE)))</f>
        <v/>
      </c>
      <c r="AA28" s="121"/>
      <c r="AB28" s="174">
        <f>IF(ISNA(VLOOKUP($Q28,Batting!$B$5:$M$103,12,FALSE)),0,(VLOOKUP($Q28,Batting!$B$5:$M$103,12,FALSE)))</f>
        <v>2</v>
      </c>
      <c r="AD28" s="158" t="str">
        <f t="shared" si="25"/>
        <v>FORD, Terrence</v>
      </c>
      <c r="AE28" s="159" t="str">
        <f t="shared" si="26"/>
        <v>(ENG)</v>
      </c>
      <c r="AF28" s="170">
        <f>IF(ISNA(VLOOKUP($AD28,Bowling!$B$4:$S$36,3,FALSE)),0,(VLOOKUP($AD28,Bowling!$B$4:$S$36,3,FALSE)))</f>
        <v>1</v>
      </c>
      <c r="AG28" s="171">
        <f>IF(ISNA(VLOOKUP($AD28,Bowling!$B$4:$S$36,4,FALSE)),0,(VLOOKUP($AD28,Bowling!$B$4:$S$36,4,FALSE)))</f>
        <v>1</v>
      </c>
      <c r="AH28" s="175">
        <f>IF(ISNA(VLOOKUP($AD28,Bowling!$B$4:$S$36,5,FALSE)),0,(VLOOKUP($AD28,Bowling!$B$4:$S$36,5,FALSE)))</f>
        <v>3</v>
      </c>
      <c r="AI28" s="176">
        <f>IF(ISNA(VLOOKUP($AD28,Bowling!$B$4:$S$36,6,FALSE)),0,(VLOOKUP($AD28,Bowling!$B$4:$S$36,6,FALSE)))</f>
        <v>0</v>
      </c>
      <c r="AJ28" s="176">
        <f>IF(ISNA(VLOOKUP($AD28,Bowling!$B$4:$S$36,7,FALSE)),0,(VLOOKUP($AD28,Bowling!$B$4:$S$36,7,FALSE)))</f>
        <v>23</v>
      </c>
      <c r="AK28" s="176">
        <f>IF(ISNA(VLOOKUP($AD28,Bowling!$B$4:$S$36,8,FALSE)),0,(VLOOKUP($AD28,Bowling!$B$4:$S$36,8,FALSE)))</f>
        <v>0</v>
      </c>
      <c r="AL28" s="175" t="str">
        <f>IF(ISNA(VLOOKUP($AD28,Bowling!$B$4:$S$36,9,FALSE)),0,(VLOOKUP($AD28,Bowling!$B$4:$S$36,9,FALSE)))</f>
        <v>-</v>
      </c>
      <c r="AM28" s="175">
        <f>IF(ISNA(VLOOKUP($AD28,Bowling!$B$4:$S$36,10,FALSE)),0,(VLOOKUP($AD28,Bowling!$B$4:$S$36,10,FALSE)))</f>
        <v>7.666666666666667</v>
      </c>
      <c r="AN28" s="175" t="str">
        <f>IF(ISNA(VLOOKUP($AD28,Bowling!$B$4:$S$36,11,FALSE)),0,(VLOOKUP($AD28,Bowling!$B$4:$S$36,11,FALSE)))</f>
        <v>-</v>
      </c>
      <c r="AO28" s="134"/>
      <c r="AP28" s="170">
        <f>IF(ISNA(VLOOKUP($AD28,Bowling!$B$4:$S$36,13,FALSE)),0,(VLOOKUP($AD28,Bowling!$B$4:$S$36,13,FALSE)))</f>
        <v>0</v>
      </c>
      <c r="AQ28" s="170">
        <f>IF(ISNA(VLOOKUP($AD28,Bowling!$B$4:$S$36,14,FALSE)),0,(VLOOKUP($AD28,Bowling!$B$4:$S$36,14,FALSE)))</f>
        <v>0</v>
      </c>
      <c r="AR28" s="170">
        <f>IF(ISNA(VLOOKUP($AD28,Bowling!$B$4:$S$36,15,FALSE)),0,(VLOOKUP($AD28,Bowling!$B$4:$S$36,15,FALSE)))</f>
        <v>0</v>
      </c>
      <c r="AS28" s="170">
        <f>IF(ISNA(VLOOKUP($AD28,Bowling!$B$4:$S$36,16,FALSE)),0,(VLOOKUP($AD28,Bowling!$B$4:$S$36,16,FALSE)))</f>
        <v>0</v>
      </c>
      <c r="AT28" s="124"/>
      <c r="AU28" s="177">
        <f>IF(ISNA(VLOOKUP($AD28,Bowling!$B$4:$S$36,18,FALSE)),0,(VLOOKUP($AD28,Bowling!$B$4:$S$36,18,FALSE)))</f>
        <v>-4.5999999999999996</v>
      </c>
      <c r="AW28" s="158" t="str">
        <f t="shared" si="29"/>
        <v>FORD, Terrence</v>
      </c>
      <c r="AX28" s="159" t="str">
        <f t="shared" si="27"/>
        <v>(ENG)</v>
      </c>
      <c r="AY28" s="170">
        <f>IF(ISNA(VLOOKUP($AW28,Fielding!$B$5:$H$79,3,FALSE)),0,(VLOOKUP($AW28,Fielding!$B$5:$H$79,3,FALSE)))</f>
        <v>0</v>
      </c>
      <c r="AZ28" s="170">
        <f>IF(ISNA(VLOOKUP($AW28,Fielding!$B$5:$H$79,4,FALSE)),0,(VLOOKUP($AW28,Fielding!$B$5:$H$79,4,FALSE)))</f>
        <v>0</v>
      </c>
      <c r="BA28" s="170">
        <f>IF(ISNA(VLOOKUP($AW28,Fielding!$B$5:$H$79,5,FALSE)),0,(VLOOKUP($AW28,Fielding!$B$5:$H$79,5,FALSE)))</f>
        <v>0</v>
      </c>
      <c r="BC28" s="178">
        <f>IF(ISNA(VLOOKUP($AW28,Fielding!$B$5:$H$79,7,FALSE)),0,(VLOOKUP($AW28,Fielding!$B$5:$H$79,7,FALSE)))</f>
        <v>0</v>
      </c>
    </row>
    <row r="29" spans="1:55" ht="13.5" customHeight="1" x14ac:dyDescent="0.2">
      <c r="A29" s="119"/>
      <c r="B29" s="157">
        <f t="shared" si="14"/>
        <v>26</v>
      </c>
      <c r="C29" s="158" t="s">
        <v>275</v>
      </c>
      <c r="D29" s="159" t="s">
        <v>191</v>
      </c>
      <c r="E29" s="160">
        <f t="shared" si="15"/>
        <v>1</v>
      </c>
      <c r="F29" s="161">
        <f t="shared" si="16"/>
        <v>-7</v>
      </c>
      <c r="G29" s="162" t="str">
        <f t="shared" si="17"/>
        <v/>
      </c>
      <c r="H29" s="161">
        <f t="shared" si="18"/>
        <v>0</v>
      </c>
      <c r="I29" s="162" t="str">
        <f t="shared" si="19"/>
        <v/>
      </c>
      <c r="J29" s="161">
        <f t="shared" si="20"/>
        <v>0</v>
      </c>
      <c r="K29" s="162" t="str">
        <f t="shared" si="21"/>
        <v/>
      </c>
      <c r="L29" s="117"/>
      <c r="M29" s="163">
        <f t="shared" si="22"/>
        <v>-7</v>
      </c>
      <c r="N29" s="164">
        <f t="shared" si="28"/>
        <v>-7</v>
      </c>
      <c r="P29" s="124"/>
      <c r="Q29" s="158" t="str">
        <f t="shared" si="23"/>
        <v>KARA, Pravesh</v>
      </c>
      <c r="R29" s="159" t="str">
        <f t="shared" si="24"/>
        <v>(ENG)</v>
      </c>
      <c r="S29" s="170">
        <f>IF(ISNA(VLOOKUP($Q29,Batting!$B$5:$M$103,3,FALSE)),0,(VLOOKUP($Q29,Batting!$B$5:$M$103,3,FALSE)))</f>
        <v>1</v>
      </c>
      <c r="T29" s="171">
        <f>IF(ISNA(VLOOKUP($Q29,Batting!$B$5:$M$103,4,FALSE)),0,(VLOOKUP($Q29,Batting!$B$5:$M$103,4,FALSE)))</f>
        <v>1</v>
      </c>
      <c r="U29" s="171">
        <f>IF(ISNA(VLOOKUP($Q29,Batting!$B$5:$M$103,5,FALSE)),0,(VLOOKUP($Q29,Batting!$B$5:$M$103,5,FALSE)))</f>
        <v>0</v>
      </c>
      <c r="V29" s="171">
        <f>IF(ISNA(VLOOKUP($Q29,Batting!$B$5:$M$103,6,FALSE)),0,(VLOOKUP($Q29,Batting!$B$5:$M$103,6,FALSE)))</f>
        <v>0</v>
      </c>
      <c r="W29" s="172">
        <f>IF(ISNA(VLOOKUP($Q29,Batting!$B$5:$M$103,7,FALSE)),0,(VLOOKUP($Q29,Batting!$B$5:$M$103,7,FALSE)))</f>
        <v>0</v>
      </c>
      <c r="X29" s="171">
        <f>IF(ISNA(VLOOKUP($Q29,Batting!$B$5:$M$103,8,FALSE)),0,(VLOOKUP($Q29,Batting!$B$5:$M$103,8,FALSE)))</f>
        <v>0</v>
      </c>
      <c r="Y29" s="173">
        <f>IF(ISNA(VLOOKUP($Q29,Batting!$B$5:$M$103,9,FALSE)),0,(VLOOKUP($Q29,Batting!$B$5:$M$103,9,FALSE)))</f>
        <v>0</v>
      </c>
      <c r="Z29" s="194" t="str">
        <f>IF(ISNA(VLOOKUP($Q29,Batting!$B$5:$M$103,10,FALSE)),"",(VLOOKUP($Q29,Batting!$B$5:$M$103,10,FALSE)))</f>
        <v/>
      </c>
      <c r="AA29" s="121"/>
      <c r="AB29" s="174">
        <f>IF(ISNA(VLOOKUP($Q29,Batting!$B$5:$M$103,12,FALSE)),0,(VLOOKUP($Q29,Batting!$B$5:$M$103,12,FALSE)))</f>
        <v>-7</v>
      </c>
      <c r="AD29" s="158" t="str">
        <f t="shared" si="25"/>
        <v>KARA, Pravesh</v>
      </c>
      <c r="AE29" s="159" t="str">
        <f t="shared" si="26"/>
        <v>(ENG)</v>
      </c>
      <c r="AF29" s="170">
        <f>IF(ISNA(VLOOKUP($AD29,Bowling!$B$4:$S$36,3,FALSE)),0,(VLOOKUP($AD29,Bowling!$B$4:$S$36,3,FALSE)))</f>
        <v>0</v>
      </c>
      <c r="AG29" s="171">
        <f>IF(ISNA(VLOOKUP($AD29,Bowling!$B$4:$S$36,4,FALSE)),0,(VLOOKUP($AD29,Bowling!$B$4:$S$36,4,FALSE)))</f>
        <v>0</v>
      </c>
      <c r="AH29" s="175">
        <f>IF(ISNA(VLOOKUP($AD29,Bowling!$B$4:$S$36,5,FALSE)),0,(VLOOKUP($AD29,Bowling!$B$4:$S$36,5,FALSE)))</f>
        <v>0</v>
      </c>
      <c r="AI29" s="176">
        <f>IF(ISNA(VLOOKUP($AD29,Bowling!$B$4:$S$36,6,FALSE)),0,(VLOOKUP($AD29,Bowling!$B$4:$S$36,6,FALSE)))</f>
        <v>0</v>
      </c>
      <c r="AJ29" s="176">
        <f>IF(ISNA(VLOOKUP($AD29,Bowling!$B$4:$S$36,7,FALSE)),0,(VLOOKUP($AD29,Bowling!$B$4:$S$36,7,FALSE)))</f>
        <v>0</v>
      </c>
      <c r="AK29" s="176">
        <f>IF(ISNA(VLOOKUP($AD29,Bowling!$B$4:$S$36,8,FALSE)),0,(VLOOKUP($AD29,Bowling!$B$4:$S$36,8,FALSE)))</f>
        <v>0</v>
      </c>
      <c r="AL29" s="175">
        <f>IF(ISNA(VLOOKUP($AD29,Bowling!$B$4:$S$36,9,FALSE)),0,(VLOOKUP($AD29,Bowling!$B$4:$S$36,9,FALSE)))</f>
        <v>0</v>
      </c>
      <c r="AM29" s="175">
        <f>IF(ISNA(VLOOKUP($AD29,Bowling!$B$4:$S$36,10,FALSE)),0,(VLOOKUP($AD29,Bowling!$B$4:$S$36,10,FALSE)))</f>
        <v>0</v>
      </c>
      <c r="AN29" s="175">
        <f>IF(ISNA(VLOOKUP($AD29,Bowling!$B$4:$S$36,11,FALSE)),0,(VLOOKUP($AD29,Bowling!$B$4:$S$36,11,FALSE)))</f>
        <v>0</v>
      </c>
      <c r="AO29" s="134"/>
      <c r="AP29" s="170">
        <f>IF(ISNA(VLOOKUP($AD29,Bowling!$B$4:$S$36,13,FALSE)),0,(VLOOKUP($AD29,Bowling!$B$4:$S$36,13,FALSE)))</f>
        <v>0</v>
      </c>
      <c r="AQ29" s="170">
        <f>IF(ISNA(VLOOKUP($AD29,Bowling!$B$4:$S$36,14,FALSE)),0,(VLOOKUP($AD29,Bowling!$B$4:$S$36,14,FALSE)))</f>
        <v>0</v>
      </c>
      <c r="AR29" s="170">
        <f>IF(ISNA(VLOOKUP($AD29,Bowling!$B$4:$S$36,15,FALSE)),0,(VLOOKUP($AD29,Bowling!$B$4:$S$36,15,FALSE)))</f>
        <v>0</v>
      </c>
      <c r="AS29" s="170">
        <f>IF(ISNA(VLOOKUP($AD29,Bowling!$B$4:$S$36,16,FALSE)),0,(VLOOKUP($AD29,Bowling!$B$4:$S$36,16,FALSE)))</f>
        <v>0</v>
      </c>
      <c r="AT29" s="124"/>
      <c r="AU29" s="177">
        <f>IF(ISNA(VLOOKUP($AD29,Bowling!$B$4:$S$36,18,FALSE)),0,(VLOOKUP($AD29,Bowling!$B$4:$S$36,18,FALSE)))</f>
        <v>0</v>
      </c>
      <c r="AW29" s="158" t="str">
        <f t="shared" si="29"/>
        <v>KARA, Pravesh</v>
      </c>
      <c r="AX29" s="159" t="str">
        <f t="shared" si="27"/>
        <v>(ENG)</v>
      </c>
      <c r="AY29" s="170">
        <f>IF(ISNA(VLOOKUP($AW29,Fielding!$B$5:$H$79,3,FALSE)),0,(VLOOKUP($AW29,Fielding!$B$5:$H$79,3,FALSE)))</f>
        <v>0</v>
      </c>
      <c r="AZ29" s="170">
        <f>IF(ISNA(VLOOKUP($AW29,Fielding!$B$5:$H$79,4,FALSE)),0,(VLOOKUP($AW29,Fielding!$B$5:$H$79,4,FALSE)))</f>
        <v>0</v>
      </c>
      <c r="BA29" s="170">
        <f>IF(ISNA(VLOOKUP($AW29,Fielding!$B$5:$H$79,5,FALSE)),0,(VLOOKUP($AW29,Fielding!$B$5:$H$79,5,FALSE)))</f>
        <v>0</v>
      </c>
      <c r="BC29" s="178">
        <f>IF(ISNA(VLOOKUP($AW29,Fielding!$B$5:$H$79,7,FALSE)),0,(VLOOKUP($AW29,Fielding!$B$5:$H$79,7,FALSE)))</f>
        <v>0</v>
      </c>
    </row>
    <row r="30" spans="1:55" ht="13.5" customHeight="1" x14ac:dyDescent="0.2">
      <c r="A30" s="119"/>
      <c r="B30" s="157">
        <f t="shared" si="14"/>
        <v>27</v>
      </c>
      <c r="C30" s="158" t="s">
        <v>270</v>
      </c>
      <c r="D30" s="159" t="s">
        <v>190</v>
      </c>
      <c r="E30" s="160">
        <f t="shared" si="15"/>
        <v>1</v>
      </c>
      <c r="F30" s="161">
        <f t="shared" si="16"/>
        <v>-7</v>
      </c>
      <c r="G30" s="162" t="str">
        <f t="shared" si="17"/>
        <v/>
      </c>
      <c r="H30" s="161">
        <f t="shared" si="18"/>
        <v>0</v>
      </c>
      <c r="I30" s="162" t="str">
        <f t="shared" si="19"/>
        <v/>
      </c>
      <c r="J30" s="161">
        <f t="shared" si="20"/>
        <v>0</v>
      </c>
      <c r="K30" s="162" t="str">
        <f t="shared" si="21"/>
        <v/>
      </c>
      <c r="L30" s="117"/>
      <c r="M30" s="163">
        <f t="shared" si="22"/>
        <v>-7</v>
      </c>
      <c r="N30" s="164">
        <f t="shared" si="28"/>
        <v>-7</v>
      </c>
      <c r="P30" s="127"/>
      <c r="Q30" s="158" t="str">
        <f t="shared" si="23"/>
        <v>THACKER, Jai</v>
      </c>
      <c r="R30" s="159" t="str">
        <f t="shared" si="24"/>
        <v>(IND)</v>
      </c>
      <c r="S30" s="170">
        <f>IF(ISNA(VLOOKUP($Q30,Batting!$B$5:$M$103,3,FALSE)),0,(VLOOKUP($Q30,Batting!$B$5:$M$103,3,FALSE)))</f>
        <v>1</v>
      </c>
      <c r="T30" s="171">
        <f>IF(ISNA(VLOOKUP($Q30,Batting!$B$5:$M$103,4,FALSE)),0,(VLOOKUP($Q30,Batting!$B$5:$M$103,4,FALSE)))</f>
        <v>1</v>
      </c>
      <c r="U30" s="171">
        <f>IF(ISNA(VLOOKUP($Q30,Batting!$B$5:$M$103,5,FALSE)),0,(VLOOKUP($Q30,Batting!$B$5:$M$103,5,FALSE)))</f>
        <v>0</v>
      </c>
      <c r="V30" s="171">
        <f>IF(ISNA(VLOOKUP($Q30,Batting!$B$5:$M$103,6,FALSE)),0,(VLOOKUP($Q30,Batting!$B$5:$M$103,6,FALSE)))</f>
        <v>0</v>
      </c>
      <c r="W30" s="172">
        <f>IF(ISNA(VLOOKUP($Q30,Batting!$B$5:$M$103,7,FALSE)),0,(VLOOKUP($Q30,Batting!$B$5:$M$103,7,FALSE)))</f>
        <v>0</v>
      </c>
      <c r="X30" s="171">
        <f>IF(ISNA(VLOOKUP($Q30,Batting!$B$5:$M$103,8,FALSE)),0,(VLOOKUP($Q30,Batting!$B$5:$M$103,8,FALSE)))</f>
        <v>0</v>
      </c>
      <c r="Y30" s="173">
        <f>IF(ISNA(VLOOKUP($Q30,Batting!$B$5:$M$103,9,FALSE)),0,(VLOOKUP($Q30,Batting!$B$5:$M$103,9,FALSE)))</f>
        <v>0</v>
      </c>
      <c r="Z30" s="194" t="str">
        <f>IF(ISNA(VLOOKUP($Q30,Batting!$B$5:$M$103,10,FALSE)),"",(VLOOKUP($Q30,Batting!$B$5:$M$103,10,FALSE)))</f>
        <v/>
      </c>
      <c r="AA30" s="121"/>
      <c r="AB30" s="174">
        <f>IF(ISNA(VLOOKUP($Q30,Batting!$B$5:$M$103,12,FALSE)),0,(VLOOKUP($Q30,Batting!$B$5:$M$103,12,FALSE)))</f>
        <v>-7</v>
      </c>
      <c r="AD30" s="158" t="str">
        <f t="shared" si="25"/>
        <v>THACKER, Jai</v>
      </c>
      <c r="AE30" s="159" t="str">
        <f t="shared" si="26"/>
        <v>(IND)</v>
      </c>
      <c r="AF30" s="170">
        <f>IF(ISNA(VLOOKUP($AD30,Bowling!$B$4:$S$36,3,FALSE)),0,(VLOOKUP($AD30,Bowling!$B$4:$S$36,3,FALSE)))</f>
        <v>0</v>
      </c>
      <c r="AG30" s="171">
        <f>IF(ISNA(VLOOKUP($AD30,Bowling!$B$4:$S$36,4,FALSE)),0,(VLOOKUP($AD30,Bowling!$B$4:$S$36,4,FALSE)))</f>
        <v>0</v>
      </c>
      <c r="AH30" s="175">
        <f>IF(ISNA(VLOOKUP($AD30,Bowling!$B$4:$S$36,5,FALSE)),0,(VLOOKUP($AD30,Bowling!$B$4:$S$36,5,FALSE)))</f>
        <v>0</v>
      </c>
      <c r="AI30" s="176">
        <f>IF(ISNA(VLOOKUP($AD30,Bowling!$B$4:$S$36,6,FALSE)),0,(VLOOKUP($AD30,Bowling!$B$4:$S$36,6,FALSE)))</f>
        <v>0</v>
      </c>
      <c r="AJ30" s="176">
        <f>IF(ISNA(VLOOKUP($AD30,Bowling!$B$4:$S$36,7,FALSE)),0,(VLOOKUP($AD30,Bowling!$B$4:$S$36,7,FALSE)))</f>
        <v>0</v>
      </c>
      <c r="AK30" s="176">
        <f>IF(ISNA(VLOOKUP($AD30,Bowling!$B$4:$S$36,8,FALSE)),0,(VLOOKUP($AD30,Bowling!$B$4:$S$36,8,FALSE)))</f>
        <v>0</v>
      </c>
      <c r="AL30" s="175">
        <f>IF(ISNA(VLOOKUP($AD30,Bowling!$B$4:$S$36,9,FALSE)),0,(VLOOKUP($AD30,Bowling!$B$4:$S$36,9,FALSE)))</f>
        <v>0</v>
      </c>
      <c r="AM30" s="175">
        <f>IF(ISNA(VLOOKUP($AD30,Bowling!$B$4:$S$36,10,FALSE)),0,(VLOOKUP($AD30,Bowling!$B$4:$S$36,10,FALSE)))</f>
        <v>0</v>
      </c>
      <c r="AN30" s="175">
        <f>IF(ISNA(VLOOKUP($AD30,Bowling!$B$4:$S$36,11,FALSE)),0,(VLOOKUP($AD30,Bowling!$B$4:$S$36,11,FALSE)))</f>
        <v>0</v>
      </c>
      <c r="AO30" s="134"/>
      <c r="AP30" s="170">
        <f>IF(ISNA(VLOOKUP($AD30,Bowling!$B$4:$S$36,13,FALSE)),0,(VLOOKUP($AD30,Bowling!$B$4:$S$36,13,FALSE)))</f>
        <v>0</v>
      </c>
      <c r="AQ30" s="170">
        <f>IF(ISNA(VLOOKUP($AD30,Bowling!$B$4:$S$36,14,FALSE)),0,(VLOOKUP($AD30,Bowling!$B$4:$S$36,14,FALSE)))</f>
        <v>0</v>
      </c>
      <c r="AR30" s="170">
        <f>IF(ISNA(VLOOKUP($AD30,Bowling!$B$4:$S$36,15,FALSE)),0,(VLOOKUP($AD30,Bowling!$B$4:$S$36,15,FALSE)))</f>
        <v>0</v>
      </c>
      <c r="AS30" s="170">
        <f>IF(ISNA(VLOOKUP($AD30,Bowling!$B$4:$S$36,16,FALSE)),0,(VLOOKUP($AD30,Bowling!$B$4:$S$36,16,FALSE)))</f>
        <v>0</v>
      </c>
      <c r="AT30" s="124"/>
      <c r="AU30" s="177">
        <f>IF(ISNA(VLOOKUP($AD30,Bowling!$B$4:$S$36,18,FALSE)),0,(VLOOKUP($AD30,Bowling!$B$4:$S$36,18,FALSE)))</f>
        <v>0</v>
      </c>
      <c r="AW30" s="158" t="str">
        <f t="shared" si="29"/>
        <v>THACKER, Jai</v>
      </c>
      <c r="AX30" s="159" t="str">
        <f t="shared" si="27"/>
        <v>(IND)</v>
      </c>
      <c r="AY30" s="170">
        <f>IF(ISNA(VLOOKUP($AW30,Fielding!$B$5:$H$79,3,FALSE)),0,(VLOOKUP($AW30,Fielding!$B$5:$H$79,3,FALSE)))</f>
        <v>0</v>
      </c>
      <c r="AZ30" s="170">
        <f>IF(ISNA(VLOOKUP($AW30,Fielding!$B$5:$H$79,4,FALSE)),0,(VLOOKUP($AW30,Fielding!$B$5:$H$79,4,FALSE)))</f>
        <v>0</v>
      </c>
      <c r="BA30" s="170">
        <f>IF(ISNA(VLOOKUP($AW30,Fielding!$B$5:$H$79,5,FALSE)),0,(VLOOKUP($AW30,Fielding!$B$5:$H$79,5,FALSE)))</f>
        <v>0</v>
      </c>
      <c r="BC30" s="178">
        <f>IF(ISNA(VLOOKUP($AW30,Fielding!$B$5:$H$79,7,FALSE)),0,(VLOOKUP($AW30,Fielding!$B$5:$H$79,7,FALSE)))</f>
        <v>0</v>
      </c>
    </row>
    <row r="31" spans="1:55" ht="13.5" customHeight="1" x14ac:dyDescent="0.2">
      <c r="A31" s="119"/>
      <c r="B31" s="157">
        <f t="shared" si="14"/>
        <v>28</v>
      </c>
      <c r="C31" s="158" t="s">
        <v>277</v>
      </c>
      <c r="D31" s="159" t="s">
        <v>274</v>
      </c>
      <c r="E31" s="160">
        <f t="shared" si="15"/>
        <v>1</v>
      </c>
      <c r="F31" s="161">
        <f t="shared" si="16"/>
        <v>-5</v>
      </c>
      <c r="G31" s="162">
        <f t="shared" si="17"/>
        <v>2</v>
      </c>
      <c r="H31" s="161">
        <f t="shared" si="18"/>
        <v>-2.4</v>
      </c>
      <c r="I31" s="162" t="str">
        <f t="shared" si="19"/>
        <v/>
      </c>
      <c r="J31" s="161">
        <f t="shared" si="20"/>
        <v>0</v>
      </c>
      <c r="K31" s="162" t="str">
        <f t="shared" si="21"/>
        <v/>
      </c>
      <c r="L31" s="117"/>
      <c r="M31" s="163">
        <f t="shared" si="22"/>
        <v>-7.4</v>
      </c>
      <c r="N31" s="164">
        <f t="shared" si="28"/>
        <v>-7.4</v>
      </c>
      <c r="P31" s="116"/>
      <c r="Q31" s="158" t="str">
        <f t="shared" si="23"/>
        <v>CO-OP, Lenard</v>
      </c>
      <c r="R31" s="159" t="str">
        <f t="shared" si="24"/>
        <v>(SL)</v>
      </c>
      <c r="S31" s="170">
        <f>IF(ISNA(VLOOKUP($Q31,Batting!$B$5:$M$103,3,FALSE)),0,(VLOOKUP($Q31,Batting!$B$5:$M$103,3,FALSE)))</f>
        <v>1</v>
      </c>
      <c r="T31" s="171">
        <f>IF(ISNA(VLOOKUP($Q31,Batting!$B$5:$M$103,4,FALSE)),0,(VLOOKUP($Q31,Batting!$B$5:$M$103,4,FALSE)))</f>
        <v>1</v>
      </c>
      <c r="U31" s="171">
        <f>IF(ISNA(VLOOKUP($Q31,Batting!$B$5:$M$103,5,FALSE)),0,(VLOOKUP($Q31,Batting!$B$5:$M$103,5,FALSE)))</f>
        <v>0</v>
      </c>
      <c r="V31" s="171">
        <f>IF(ISNA(VLOOKUP($Q31,Batting!$B$5:$M$103,6,FALSE)),0,(VLOOKUP($Q31,Batting!$B$5:$M$103,6,FALSE)))</f>
        <v>2</v>
      </c>
      <c r="W31" s="172">
        <f>IF(ISNA(VLOOKUP($Q31,Batting!$B$5:$M$103,7,FALSE)),0,(VLOOKUP($Q31,Batting!$B$5:$M$103,7,FALSE)))</f>
        <v>2</v>
      </c>
      <c r="X31" s="171">
        <f>IF(ISNA(VLOOKUP($Q31,Batting!$B$5:$M$103,8,FALSE)),0,(VLOOKUP($Q31,Batting!$B$5:$M$103,8,FALSE)))</f>
        <v>0</v>
      </c>
      <c r="Y31" s="173">
        <f>IF(ISNA(VLOOKUP($Q31,Batting!$B$5:$M$103,9,FALSE)),0,(VLOOKUP($Q31,Batting!$B$5:$M$103,9,FALSE)))</f>
        <v>2</v>
      </c>
      <c r="Z31" s="194" t="str">
        <f>IF(ISNA(VLOOKUP($Q31,Batting!$B$5:$M$103,10,FALSE)),"",(VLOOKUP($Q31,Batting!$B$5:$M$103,10,FALSE)))</f>
        <v/>
      </c>
      <c r="AA31" s="121"/>
      <c r="AB31" s="174">
        <f>IF(ISNA(VLOOKUP($Q31,Batting!$B$5:$M$103,12,FALSE)),0,(VLOOKUP($Q31,Batting!$B$5:$M$103,12,FALSE)))</f>
        <v>-5</v>
      </c>
      <c r="AD31" s="158" t="str">
        <f t="shared" si="25"/>
        <v>CO-OP, Lenard</v>
      </c>
      <c r="AE31" s="159" t="str">
        <f t="shared" si="26"/>
        <v>(SL)</v>
      </c>
      <c r="AF31" s="170">
        <f>IF(ISNA(VLOOKUP($AD31,Bowling!$B$4:$S$36,3,FALSE)),0,(VLOOKUP($AD31,Bowling!$B$4:$S$36,3,FALSE)))</f>
        <v>1</v>
      </c>
      <c r="AG31" s="171">
        <f>IF(ISNA(VLOOKUP($AD31,Bowling!$B$4:$S$36,4,FALSE)),0,(VLOOKUP($AD31,Bowling!$B$4:$S$36,4,FALSE)))</f>
        <v>1</v>
      </c>
      <c r="AH31" s="175">
        <f>IF(ISNA(VLOOKUP($AD31,Bowling!$B$4:$S$36,5,FALSE)),0,(VLOOKUP($AD31,Bowling!$B$4:$S$36,5,FALSE)))</f>
        <v>2</v>
      </c>
      <c r="AI31" s="176">
        <f>IF(ISNA(VLOOKUP($AD31,Bowling!$B$4:$S$36,6,FALSE)),0,(VLOOKUP($AD31,Bowling!$B$4:$S$36,6,FALSE)))</f>
        <v>0</v>
      </c>
      <c r="AJ31" s="176">
        <f>IF(ISNA(VLOOKUP($AD31,Bowling!$B$4:$S$36,7,FALSE)),0,(VLOOKUP($AD31,Bowling!$B$4:$S$36,7,FALSE)))</f>
        <v>12</v>
      </c>
      <c r="AK31" s="176">
        <f>IF(ISNA(VLOOKUP($AD31,Bowling!$B$4:$S$36,8,FALSE)),0,(VLOOKUP($AD31,Bowling!$B$4:$S$36,8,FALSE)))</f>
        <v>0</v>
      </c>
      <c r="AL31" s="175" t="str">
        <f>IF(ISNA(VLOOKUP($AD31,Bowling!$B$4:$S$36,9,FALSE)),0,(VLOOKUP($AD31,Bowling!$B$4:$S$36,9,FALSE)))</f>
        <v>-</v>
      </c>
      <c r="AM31" s="175">
        <f>IF(ISNA(VLOOKUP($AD31,Bowling!$B$4:$S$36,10,FALSE)),0,(VLOOKUP($AD31,Bowling!$B$4:$S$36,10,FALSE)))</f>
        <v>6</v>
      </c>
      <c r="AN31" s="175" t="str">
        <f>IF(ISNA(VLOOKUP($AD31,Bowling!$B$4:$S$36,11,FALSE)),0,(VLOOKUP($AD31,Bowling!$B$4:$S$36,11,FALSE)))</f>
        <v>-</v>
      </c>
      <c r="AO31" s="134"/>
      <c r="AP31" s="170">
        <f>IF(ISNA(VLOOKUP($AD31,Bowling!$B$4:$S$36,13,FALSE)),0,(VLOOKUP($AD31,Bowling!$B$4:$S$36,13,FALSE)))</f>
        <v>0</v>
      </c>
      <c r="AQ31" s="170">
        <f>IF(ISNA(VLOOKUP($AD31,Bowling!$B$4:$S$36,14,FALSE)),0,(VLOOKUP($AD31,Bowling!$B$4:$S$36,14,FALSE)))</f>
        <v>0</v>
      </c>
      <c r="AR31" s="170">
        <f>IF(ISNA(VLOOKUP($AD31,Bowling!$B$4:$S$36,15,FALSE)),0,(VLOOKUP($AD31,Bowling!$B$4:$S$36,15,FALSE)))</f>
        <v>0</v>
      </c>
      <c r="AS31" s="170">
        <f>IF(ISNA(VLOOKUP($AD31,Bowling!$B$4:$S$36,16,FALSE)),0,(VLOOKUP($AD31,Bowling!$B$4:$S$36,16,FALSE)))</f>
        <v>0</v>
      </c>
      <c r="AT31" s="124"/>
      <c r="AU31" s="177">
        <f>IF(ISNA(VLOOKUP($AD31,Bowling!$B$4:$S$36,18,FALSE)),0,(VLOOKUP($AD31,Bowling!$B$4:$S$36,18,FALSE)))</f>
        <v>-2.4</v>
      </c>
      <c r="AW31" s="158" t="str">
        <f t="shared" si="29"/>
        <v>CO-OP, Lenard</v>
      </c>
      <c r="AX31" s="159" t="str">
        <f t="shared" si="27"/>
        <v>(SL)</v>
      </c>
      <c r="AY31" s="170">
        <f>IF(ISNA(VLOOKUP($AW31,Fielding!$B$5:$H$79,3,FALSE)),0,(VLOOKUP($AW31,Fielding!$B$5:$H$79,3,FALSE)))</f>
        <v>0</v>
      </c>
      <c r="AZ31" s="170">
        <f>IF(ISNA(VLOOKUP($AW31,Fielding!$B$5:$H$79,4,FALSE)),0,(VLOOKUP($AW31,Fielding!$B$5:$H$79,4,FALSE)))</f>
        <v>0</v>
      </c>
      <c r="BA31" s="170">
        <f>IF(ISNA(VLOOKUP($AW31,Fielding!$B$5:$H$79,5,FALSE)),0,(VLOOKUP($AW31,Fielding!$B$5:$H$79,5,FALSE)))</f>
        <v>0</v>
      </c>
      <c r="BC31" s="178">
        <f>IF(ISNA(VLOOKUP($AW31,Fielding!$B$5:$H$79,7,FALSE)),0,(VLOOKUP($AW31,Fielding!$B$5:$H$79,7,FALSE)))</f>
        <v>0</v>
      </c>
    </row>
    <row r="32" spans="1:55" ht="13.5" customHeight="1" x14ac:dyDescent="0.2">
      <c r="A32" s="119"/>
      <c r="B32" s="157">
        <f t="shared" si="14"/>
        <v>29</v>
      </c>
      <c r="C32" s="158" t="s">
        <v>268</v>
      </c>
      <c r="D32" s="159" t="s">
        <v>189</v>
      </c>
      <c r="E32" s="160">
        <f t="shared" si="15"/>
        <v>2</v>
      </c>
      <c r="F32" s="161">
        <f t="shared" si="16"/>
        <v>-8</v>
      </c>
      <c r="G32" s="162">
        <f t="shared" si="17"/>
        <v>6</v>
      </c>
      <c r="H32" s="161">
        <f t="shared" si="18"/>
        <v>-8.8000000000000007</v>
      </c>
      <c r="I32" s="162" t="str">
        <f t="shared" si="19"/>
        <v/>
      </c>
      <c r="J32" s="161">
        <f t="shared" si="20"/>
        <v>8</v>
      </c>
      <c r="K32" s="162">
        <f t="shared" si="21"/>
        <v>1</v>
      </c>
      <c r="L32" s="117"/>
      <c r="M32" s="163">
        <f t="shared" si="22"/>
        <v>-8.8000000000000007</v>
      </c>
      <c r="N32" s="164">
        <f t="shared" si="28"/>
        <v>-4.4000000000000004</v>
      </c>
      <c r="P32" s="116"/>
      <c r="Q32" s="158" t="str">
        <f t="shared" si="23"/>
        <v>BLACKMAN, Dave</v>
      </c>
      <c r="R32" s="159" t="str">
        <f t="shared" si="24"/>
        <v>(AUS)</v>
      </c>
      <c r="S32" s="170">
        <f>IF(ISNA(VLOOKUP($Q32,Batting!$B$5:$M$103,3,FALSE)),0,(VLOOKUP($Q32,Batting!$B$5:$M$103,3,FALSE)))</f>
        <v>2</v>
      </c>
      <c r="T32" s="171">
        <f>IF(ISNA(VLOOKUP($Q32,Batting!$B$5:$M$103,4,FALSE)),0,(VLOOKUP($Q32,Batting!$B$5:$M$103,4,FALSE)))</f>
        <v>2</v>
      </c>
      <c r="U32" s="171">
        <f>IF(ISNA(VLOOKUP($Q32,Batting!$B$5:$M$103,5,FALSE)),0,(VLOOKUP($Q32,Batting!$B$5:$M$103,5,FALSE)))</f>
        <v>0</v>
      </c>
      <c r="V32" s="171">
        <f>IF(ISNA(VLOOKUP($Q32,Batting!$B$5:$M$103,6,FALSE)),0,(VLOOKUP($Q32,Batting!$B$5:$M$103,6,FALSE)))</f>
        <v>6</v>
      </c>
      <c r="W32" s="172">
        <f>IF(ISNA(VLOOKUP($Q32,Batting!$B$5:$M$103,7,FALSE)),0,(VLOOKUP($Q32,Batting!$B$5:$M$103,7,FALSE)))</f>
        <v>4</v>
      </c>
      <c r="X32" s="171">
        <f>IF(ISNA(VLOOKUP($Q32,Batting!$B$5:$M$103,8,FALSE)),0,(VLOOKUP($Q32,Batting!$B$5:$M$103,8,FALSE)))</f>
        <v>0</v>
      </c>
      <c r="Y32" s="173">
        <f>IF(ISNA(VLOOKUP($Q32,Batting!$B$5:$M$103,9,FALSE)),0,(VLOOKUP($Q32,Batting!$B$5:$M$103,9,FALSE)))</f>
        <v>3</v>
      </c>
      <c r="Z32" s="194" t="str">
        <f>IF(ISNA(VLOOKUP($Q32,Batting!$B$5:$M$103,10,FALSE)),"",(VLOOKUP($Q32,Batting!$B$5:$M$103,10,FALSE)))</f>
        <v/>
      </c>
      <c r="AA32" s="121"/>
      <c r="AB32" s="174">
        <f>IF(ISNA(VLOOKUP($Q32,Batting!$B$5:$M$103,12,FALSE)),0,(VLOOKUP($Q32,Batting!$B$5:$M$103,12,FALSE)))</f>
        <v>-8</v>
      </c>
      <c r="AD32" s="158" t="str">
        <f t="shared" si="25"/>
        <v>BLACKMAN, Dave</v>
      </c>
      <c r="AE32" s="159" t="str">
        <f t="shared" si="26"/>
        <v>(AUS)</v>
      </c>
      <c r="AF32" s="170">
        <f>IF(ISNA(VLOOKUP($AD32,Bowling!$B$4:$S$36,3,FALSE)),0,(VLOOKUP($AD32,Bowling!$B$4:$S$36,3,FALSE)))</f>
        <v>2</v>
      </c>
      <c r="AG32" s="171">
        <f>IF(ISNA(VLOOKUP($AD32,Bowling!$B$4:$S$36,4,FALSE)),0,(VLOOKUP($AD32,Bowling!$B$4:$S$36,4,FALSE)))</f>
        <v>1</v>
      </c>
      <c r="AH32" s="175">
        <f>IF(ISNA(VLOOKUP($AD32,Bowling!$B$4:$S$36,5,FALSE)),0,(VLOOKUP($AD32,Bowling!$B$4:$S$36,5,FALSE)))</f>
        <v>3</v>
      </c>
      <c r="AI32" s="176">
        <f>IF(ISNA(VLOOKUP($AD32,Bowling!$B$4:$S$36,6,FALSE)),0,(VLOOKUP($AD32,Bowling!$B$4:$S$36,6,FALSE)))</f>
        <v>0</v>
      </c>
      <c r="AJ32" s="176">
        <f>IF(ISNA(VLOOKUP($AD32,Bowling!$B$4:$S$36,7,FALSE)),0,(VLOOKUP($AD32,Bowling!$B$4:$S$36,7,FALSE)))</f>
        <v>44</v>
      </c>
      <c r="AK32" s="176">
        <f>IF(ISNA(VLOOKUP($AD32,Bowling!$B$4:$S$36,8,FALSE)),0,(VLOOKUP($AD32,Bowling!$B$4:$S$36,8,FALSE)))</f>
        <v>0</v>
      </c>
      <c r="AL32" s="175" t="str">
        <f>IF(ISNA(VLOOKUP($AD32,Bowling!$B$4:$S$36,9,FALSE)),0,(VLOOKUP($AD32,Bowling!$B$4:$S$36,9,FALSE)))</f>
        <v>-</v>
      </c>
      <c r="AM32" s="175">
        <f>IF(ISNA(VLOOKUP($AD32,Bowling!$B$4:$S$36,10,FALSE)),0,(VLOOKUP($AD32,Bowling!$B$4:$S$36,10,FALSE)))</f>
        <v>14.666666666666666</v>
      </c>
      <c r="AN32" s="175" t="str">
        <f>IF(ISNA(VLOOKUP($AD32,Bowling!$B$4:$S$36,11,FALSE)),0,(VLOOKUP($AD32,Bowling!$B$4:$S$36,11,FALSE)))</f>
        <v>-</v>
      </c>
      <c r="AO32" s="134"/>
      <c r="AP32" s="170">
        <f>IF(ISNA(VLOOKUP($AD32,Bowling!$B$4:$S$36,13,FALSE)),0,(VLOOKUP($AD32,Bowling!$B$4:$S$36,13,FALSE)))</f>
        <v>0</v>
      </c>
      <c r="AQ32" s="170">
        <f>IF(ISNA(VLOOKUP($AD32,Bowling!$B$4:$S$36,14,FALSE)),0,(VLOOKUP($AD32,Bowling!$B$4:$S$36,14,FALSE)))</f>
        <v>0</v>
      </c>
      <c r="AR32" s="170">
        <f>IF(ISNA(VLOOKUP($AD32,Bowling!$B$4:$S$36,15,FALSE)),0,(VLOOKUP($AD32,Bowling!$B$4:$S$36,15,FALSE)))</f>
        <v>0</v>
      </c>
      <c r="AS32" s="170">
        <f>IF(ISNA(VLOOKUP($AD32,Bowling!$B$4:$S$36,16,FALSE)),0,(VLOOKUP($AD32,Bowling!$B$4:$S$36,16,FALSE)))</f>
        <v>0</v>
      </c>
      <c r="AT32" s="124"/>
      <c r="AU32" s="177">
        <f>IF(ISNA(VLOOKUP($AD32,Bowling!$B$4:$S$36,18,FALSE)),0,(VLOOKUP($AD32,Bowling!$B$4:$S$36,18,FALSE)))</f>
        <v>-8.8000000000000007</v>
      </c>
      <c r="AW32" s="158" t="str">
        <f t="shared" si="29"/>
        <v>BLACKMAN, Dave</v>
      </c>
      <c r="AX32" s="159" t="str">
        <f t="shared" si="27"/>
        <v>(AUS)</v>
      </c>
      <c r="AY32" s="170">
        <f>IF(ISNA(VLOOKUP($AW32,Fielding!$B$5:$H$79,3,FALSE)),0,(VLOOKUP($AW32,Fielding!$B$5:$H$79,3,FALSE)))</f>
        <v>1</v>
      </c>
      <c r="AZ32" s="170" t="str">
        <f>IF(ISNA(VLOOKUP($AW32,Fielding!$B$5:$H$79,4,FALSE)),0,(VLOOKUP($AW32,Fielding!$B$5:$H$79,4,FALSE)))</f>
        <v>0</v>
      </c>
      <c r="BA32" s="170" t="str">
        <f>IF(ISNA(VLOOKUP($AW32,Fielding!$B$5:$H$79,5,FALSE)),0,(VLOOKUP($AW32,Fielding!$B$5:$H$79,5,FALSE)))</f>
        <v>0</v>
      </c>
      <c r="BC32" s="178">
        <f>IF(ISNA(VLOOKUP($AW32,Fielding!$B$5:$H$79,7,FALSE)),0,(VLOOKUP($AW32,Fielding!$B$5:$H$79,7,FALSE)))</f>
        <v>8</v>
      </c>
    </row>
    <row r="33" spans="1:55" ht="13.5" customHeight="1" x14ac:dyDescent="0.2">
      <c r="A33" s="119"/>
      <c r="B33" s="157">
        <f t="shared" si="14"/>
        <v>30</v>
      </c>
      <c r="C33" s="158" t="s">
        <v>186</v>
      </c>
      <c r="D33" s="159" t="s">
        <v>189</v>
      </c>
      <c r="E33" s="160">
        <f t="shared" si="15"/>
        <v>3</v>
      </c>
      <c r="F33" s="161">
        <f t="shared" si="16"/>
        <v>21</v>
      </c>
      <c r="G33" s="162">
        <f t="shared" si="17"/>
        <v>42</v>
      </c>
      <c r="H33" s="161">
        <f t="shared" si="18"/>
        <v>11.2</v>
      </c>
      <c r="I33" s="162">
        <f t="shared" si="19"/>
        <v>1</v>
      </c>
      <c r="J33" s="161">
        <f t="shared" si="20"/>
        <v>16</v>
      </c>
      <c r="K33" s="162">
        <f t="shared" si="21"/>
        <v>2</v>
      </c>
      <c r="L33" s="117"/>
      <c r="M33" s="163">
        <f t="shared" si="22"/>
        <v>48.2</v>
      </c>
      <c r="N33" s="164">
        <f t="shared" si="28"/>
        <v>16.066666666666666</v>
      </c>
      <c r="P33" s="116"/>
      <c r="Q33" s="158" t="str">
        <f t="shared" si="23"/>
        <v>SHELDON, Mike</v>
      </c>
      <c r="R33" s="159" t="str">
        <f t="shared" si="24"/>
        <v>(AUS)</v>
      </c>
      <c r="S33" s="170">
        <f>IF(ISNA(VLOOKUP($Q33,Batting!$B$5:$M$103,3,FALSE)),0,(VLOOKUP($Q33,Batting!$B$5:$M$103,3,FALSE)))</f>
        <v>3</v>
      </c>
      <c r="T33" s="171">
        <f>IF(ISNA(VLOOKUP($Q33,Batting!$B$5:$M$103,4,FALSE)),0,(VLOOKUP($Q33,Batting!$B$5:$M$103,4,FALSE)))</f>
        <v>3</v>
      </c>
      <c r="U33" s="171">
        <f>IF(ISNA(VLOOKUP($Q33,Batting!$B$5:$M$103,5,FALSE)),0,(VLOOKUP($Q33,Batting!$B$5:$M$103,5,FALSE)))</f>
        <v>0</v>
      </c>
      <c r="V33" s="171">
        <f>IF(ISNA(VLOOKUP($Q33,Batting!$B$5:$M$103,6,FALSE)),0,(VLOOKUP($Q33,Batting!$B$5:$M$103,6,FALSE)))</f>
        <v>42</v>
      </c>
      <c r="W33" s="172">
        <f>IF(ISNA(VLOOKUP($Q33,Batting!$B$5:$M$103,7,FALSE)),0,(VLOOKUP($Q33,Batting!$B$5:$M$103,7,FALSE)))</f>
        <v>40</v>
      </c>
      <c r="X33" s="171">
        <f>IF(ISNA(VLOOKUP($Q33,Batting!$B$5:$M$103,8,FALSE)),0,(VLOOKUP($Q33,Batting!$B$5:$M$103,8,FALSE)))</f>
        <v>0</v>
      </c>
      <c r="Y33" s="173">
        <f>IF(ISNA(VLOOKUP($Q33,Batting!$B$5:$M$103,9,FALSE)),0,(VLOOKUP($Q33,Batting!$B$5:$M$103,9,FALSE)))</f>
        <v>14</v>
      </c>
      <c r="Z33" s="194" t="str">
        <f>IF(ISNA(VLOOKUP($Q33,Batting!$B$5:$M$103,10,FALSE)),"",(VLOOKUP($Q33,Batting!$B$5:$M$103,10,FALSE)))</f>
        <v/>
      </c>
      <c r="AA33" s="121"/>
      <c r="AB33" s="174">
        <f>IF(ISNA(VLOOKUP($Q33,Batting!$B$5:$M$103,12,FALSE)),0,(VLOOKUP($Q33,Batting!$B$5:$M$103,12,FALSE)))</f>
        <v>21</v>
      </c>
      <c r="AD33" s="158" t="str">
        <f t="shared" si="25"/>
        <v>SHELDON, Mike</v>
      </c>
      <c r="AE33" s="159" t="str">
        <f t="shared" si="26"/>
        <v>(AUS)</v>
      </c>
      <c r="AF33" s="170">
        <f>IF(ISNA(VLOOKUP($AD33,Bowling!$B$4:$S$36,3,FALSE)),0,(VLOOKUP($AD33,Bowling!$B$4:$S$36,3,FALSE)))</f>
        <v>3</v>
      </c>
      <c r="AG33" s="171">
        <f>IF(ISNA(VLOOKUP($AD33,Bowling!$B$4:$S$36,4,FALSE)),0,(VLOOKUP($AD33,Bowling!$B$4:$S$36,4,FALSE)))</f>
        <v>3</v>
      </c>
      <c r="AH33" s="175">
        <f>IF(ISNA(VLOOKUP($AD33,Bowling!$B$4:$S$36,5,FALSE)),0,(VLOOKUP($AD33,Bowling!$B$4:$S$36,5,FALSE)))</f>
        <v>16.2</v>
      </c>
      <c r="AI33" s="176">
        <f>IF(ISNA(VLOOKUP($AD33,Bowling!$B$4:$S$36,6,FALSE)),0,(VLOOKUP($AD33,Bowling!$B$4:$S$36,6,FALSE)))</f>
        <v>7</v>
      </c>
      <c r="AJ33" s="176">
        <f>IF(ISNA(VLOOKUP($AD33,Bowling!$B$4:$S$36,7,FALSE)),0,(VLOOKUP($AD33,Bowling!$B$4:$S$36,7,FALSE)))</f>
        <v>44</v>
      </c>
      <c r="AK33" s="176">
        <f>IF(ISNA(VLOOKUP($AD33,Bowling!$B$4:$S$36,8,FALSE)),0,(VLOOKUP($AD33,Bowling!$B$4:$S$36,8,FALSE)))</f>
        <v>1</v>
      </c>
      <c r="AL33" s="175">
        <f>IF(ISNA(VLOOKUP($AD33,Bowling!$B$4:$S$36,9,FALSE)),0,(VLOOKUP($AD33,Bowling!$B$4:$S$36,9,FALSE)))</f>
        <v>16.2</v>
      </c>
      <c r="AM33" s="175">
        <f>IF(ISNA(VLOOKUP($AD33,Bowling!$B$4:$S$36,10,FALSE)),0,(VLOOKUP($AD33,Bowling!$B$4:$S$36,10,FALSE)))</f>
        <v>2.7160493827160495</v>
      </c>
      <c r="AN33" s="175">
        <f>IF(ISNA(VLOOKUP($AD33,Bowling!$B$4:$S$36,11,FALSE)),0,(VLOOKUP($AD33,Bowling!$B$4:$S$36,11,FALSE)))</f>
        <v>44</v>
      </c>
      <c r="AO33" s="134"/>
      <c r="AP33" s="170">
        <f>IF(ISNA(VLOOKUP($AD33,Bowling!$B$4:$S$36,13,FALSE)),0,(VLOOKUP($AD33,Bowling!$B$4:$S$36,13,FALSE)))</f>
        <v>0</v>
      </c>
      <c r="AQ33" s="170">
        <f>IF(ISNA(VLOOKUP($AD33,Bowling!$B$4:$S$36,14,FALSE)),0,(VLOOKUP($AD33,Bowling!$B$4:$S$36,14,FALSE)))</f>
        <v>0</v>
      </c>
      <c r="AR33" s="170">
        <f>IF(ISNA(VLOOKUP($AD33,Bowling!$B$4:$S$36,15,FALSE)),0,(VLOOKUP($AD33,Bowling!$B$4:$S$36,15,FALSE)))</f>
        <v>0</v>
      </c>
      <c r="AS33" s="170">
        <f>IF(ISNA(VLOOKUP($AD33,Bowling!$B$4:$S$36,16,FALSE)),0,(VLOOKUP($AD33,Bowling!$B$4:$S$36,16,FALSE)))</f>
        <v>0</v>
      </c>
      <c r="AT33" s="124"/>
      <c r="AU33" s="177">
        <f>IF(ISNA(VLOOKUP($AD33,Bowling!$B$4:$S$36,18,FALSE)),0,(VLOOKUP($AD33,Bowling!$B$4:$S$36,18,FALSE)))</f>
        <v>11.2</v>
      </c>
      <c r="AW33" s="158" t="str">
        <f t="shared" si="29"/>
        <v>SHELDON, Mike</v>
      </c>
      <c r="AX33" s="159" t="str">
        <f t="shared" si="27"/>
        <v>(AUS)</v>
      </c>
      <c r="AY33" s="170">
        <f>IF(ISNA(VLOOKUP($AW33,Fielding!$B$5:$H$79,3,FALSE)),0,(VLOOKUP($AW33,Fielding!$B$5:$H$79,3,FALSE)))</f>
        <v>2</v>
      </c>
      <c r="AZ33" s="170" t="str">
        <f>IF(ISNA(VLOOKUP($AW33,Fielding!$B$5:$H$79,4,FALSE)),0,(VLOOKUP($AW33,Fielding!$B$5:$H$79,4,FALSE)))</f>
        <v>0</v>
      </c>
      <c r="BA33" s="170" t="str">
        <f>IF(ISNA(VLOOKUP($AW33,Fielding!$B$5:$H$79,5,FALSE)),0,(VLOOKUP($AW33,Fielding!$B$5:$H$79,5,FALSE)))</f>
        <v>0</v>
      </c>
      <c r="BC33" s="178">
        <f>IF(ISNA(VLOOKUP($AW33,Fielding!$B$5:$H$79,7,FALSE)),0,(VLOOKUP($AW33,Fielding!$B$5:$H$79,7,FALSE)))</f>
        <v>16</v>
      </c>
    </row>
    <row r="34" spans="1:55" ht="13.5" customHeight="1" x14ac:dyDescent="0.2">
      <c r="A34" s="119"/>
      <c r="B34" s="157">
        <f t="shared" si="14"/>
        <v>31</v>
      </c>
      <c r="C34" s="158" t="s">
        <v>55</v>
      </c>
      <c r="D34" s="159" t="s">
        <v>191</v>
      </c>
      <c r="E34" s="160">
        <f t="shared" si="15"/>
        <v>10</v>
      </c>
      <c r="F34" s="161">
        <f t="shared" si="16"/>
        <v>-26</v>
      </c>
      <c r="G34" s="162">
        <f t="shared" si="17"/>
        <v>44</v>
      </c>
      <c r="H34" s="161">
        <f t="shared" si="18"/>
        <v>0</v>
      </c>
      <c r="I34" s="162" t="str">
        <f t="shared" si="19"/>
        <v/>
      </c>
      <c r="J34" s="161">
        <f t="shared" si="20"/>
        <v>8</v>
      </c>
      <c r="K34" s="162">
        <f t="shared" si="21"/>
        <v>1</v>
      </c>
      <c r="L34" s="117"/>
      <c r="M34" s="163">
        <f t="shared" si="22"/>
        <v>-18</v>
      </c>
      <c r="N34" s="164">
        <f t="shared" si="28"/>
        <v>-1.8</v>
      </c>
      <c r="P34" s="116"/>
      <c r="Q34" s="158" t="str">
        <f t="shared" si="23"/>
        <v>HARDY, Tim</v>
      </c>
      <c r="R34" s="159" t="str">
        <f t="shared" si="24"/>
        <v>(ENG)</v>
      </c>
      <c r="S34" s="170">
        <f>IF(ISNA(VLOOKUP($Q34,Batting!$B$5:$M$103,3,FALSE)),0,(VLOOKUP($Q34,Batting!$B$5:$M$103,3,FALSE)))</f>
        <v>10</v>
      </c>
      <c r="T34" s="171">
        <f>IF(ISNA(VLOOKUP($Q34,Batting!$B$5:$M$103,4,FALSE)),0,(VLOOKUP($Q34,Batting!$B$5:$M$103,4,FALSE)))</f>
        <v>10</v>
      </c>
      <c r="U34" s="171">
        <f>IF(ISNA(VLOOKUP($Q34,Batting!$B$5:$M$103,5,FALSE)),0,(VLOOKUP($Q34,Batting!$B$5:$M$103,5,FALSE)))</f>
        <v>0</v>
      </c>
      <c r="V34" s="171">
        <f>IF(ISNA(VLOOKUP($Q34,Batting!$B$5:$M$103,6,FALSE)),0,(VLOOKUP($Q34,Batting!$B$5:$M$103,6,FALSE)))</f>
        <v>44</v>
      </c>
      <c r="W34" s="172">
        <f>IF(ISNA(VLOOKUP($Q34,Batting!$B$5:$M$103,7,FALSE)),0,(VLOOKUP($Q34,Batting!$B$5:$M$103,7,FALSE)))</f>
        <v>8</v>
      </c>
      <c r="X34" s="171">
        <f>IF(ISNA(VLOOKUP($Q34,Batting!$B$5:$M$103,8,FALSE)),0,(VLOOKUP($Q34,Batting!$B$5:$M$103,8,FALSE)))</f>
        <v>0</v>
      </c>
      <c r="Y34" s="173">
        <f>IF(ISNA(VLOOKUP($Q34,Batting!$B$5:$M$103,9,FALSE)),0,(VLOOKUP($Q34,Batting!$B$5:$M$103,9,FALSE)))</f>
        <v>4.4000000000000004</v>
      </c>
      <c r="Z34" s="194" t="str">
        <f>IF(ISNA(VLOOKUP($Q34,Batting!$B$5:$M$103,10,FALSE)),"",(VLOOKUP($Q34,Batting!$B$5:$M$103,10,FALSE)))</f>
        <v/>
      </c>
      <c r="AA34" s="121"/>
      <c r="AB34" s="174">
        <f>IF(ISNA(VLOOKUP($Q34,Batting!$B$5:$M$103,12,FALSE)),0,(VLOOKUP($Q34,Batting!$B$5:$M$103,12,FALSE)))</f>
        <v>-26</v>
      </c>
      <c r="AD34" s="158" t="str">
        <f t="shared" si="25"/>
        <v>HARDY, Tim</v>
      </c>
      <c r="AE34" s="159" t="str">
        <f t="shared" si="26"/>
        <v>(ENG)</v>
      </c>
      <c r="AF34" s="170">
        <f>IF(ISNA(VLOOKUP($AD34,Bowling!$B$4:$S$36,3,FALSE)),0,(VLOOKUP($AD34,Bowling!$B$4:$S$36,3,FALSE)))</f>
        <v>0</v>
      </c>
      <c r="AG34" s="171">
        <f>IF(ISNA(VLOOKUP($AD34,Bowling!$B$4:$S$36,4,FALSE)),0,(VLOOKUP($AD34,Bowling!$B$4:$S$36,4,FALSE)))</f>
        <v>0</v>
      </c>
      <c r="AH34" s="175">
        <f>IF(ISNA(VLOOKUP($AD34,Bowling!$B$4:$S$36,5,FALSE)),0,(VLOOKUP($AD34,Bowling!$B$4:$S$36,5,FALSE)))</f>
        <v>0</v>
      </c>
      <c r="AI34" s="176">
        <f>IF(ISNA(VLOOKUP($AD34,Bowling!$B$4:$S$36,6,FALSE)),0,(VLOOKUP($AD34,Bowling!$B$4:$S$36,6,FALSE)))</f>
        <v>0</v>
      </c>
      <c r="AJ34" s="176">
        <f>IF(ISNA(VLOOKUP($AD34,Bowling!$B$4:$S$36,7,FALSE)),0,(VLOOKUP($AD34,Bowling!$B$4:$S$36,7,FALSE)))</f>
        <v>0</v>
      </c>
      <c r="AK34" s="176">
        <f>IF(ISNA(VLOOKUP($AD34,Bowling!$B$4:$S$36,8,FALSE)),0,(VLOOKUP($AD34,Bowling!$B$4:$S$36,8,FALSE)))</f>
        <v>0</v>
      </c>
      <c r="AL34" s="175">
        <f>IF(ISNA(VLOOKUP($AD34,Bowling!$B$4:$S$36,9,FALSE)),0,(VLOOKUP($AD34,Bowling!$B$4:$S$36,9,FALSE)))</f>
        <v>0</v>
      </c>
      <c r="AM34" s="175">
        <f>IF(ISNA(VLOOKUP($AD34,Bowling!$B$4:$S$36,10,FALSE)),0,(VLOOKUP($AD34,Bowling!$B$4:$S$36,10,FALSE)))</f>
        <v>0</v>
      </c>
      <c r="AN34" s="175">
        <f>IF(ISNA(VLOOKUP($AD34,Bowling!$B$4:$S$36,11,FALSE)),0,(VLOOKUP($AD34,Bowling!$B$4:$S$36,11,FALSE)))</f>
        <v>0</v>
      </c>
      <c r="AO34" s="134"/>
      <c r="AP34" s="170">
        <f>IF(ISNA(VLOOKUP($AD34,Bowling!$B$4:$S$36,13,FALSE)),0,(VLOOKUP($AD34,Bowling!$B$4:$S$36,13,FALSE)))</f>
        <v>0</v>
      </c>
      <c r="AQ34" s="170">
        <f>IF(ISNA(VLOOKUP($AD34,Bowling!$B$4:$S$36,14,FALSE)),0,(VLOOKUP($AD34,Bowling!$B$4:$S$36,14,FALSE)))</f>
        <v>0</v>
      </c>
      <c r="AR34" s="170">
        <f>IF(ISNA(VLOOKUP($AD34,Bowling!$B$4:$S$36,15,FALSE)),0,(VLOOKUP($AD34,Bowling!$B$4:$S$36,15,FALSE)))</f>
        <v>0</v>
      </c>
      <c r="AS34" s="170">
        <f>IF(ISNA(VLOOKUP($AD34,Bowling!$B$4:$S$36,16,FALSE)),0,(VLOOKUP($AD34,Bowling!$B$4:$S$36,16,FALSE)))</f>
        <v>0</v>
      </c>
      <c r="AT34" s="124"/>
      <c r="AU34" s="177">
        <f>IF(ISNA(VLOOKUP($AD34,Bowling!$B$4:$S$36,18,FALSE)),0,(VLOOKUP($AD34,Bowling!$B$4:$S$36,18,FALSE)))</f>
        <v>0</v>
      </c>
      <c r="AW34" s="158" t="str">
        <f t="shared" si="29"/>
        <v>HARDY, Tim</v>
      </c>
      <c r="AX34" s="159" t="str">
        <f t="shared" si="27"/>
        <v>(ENG)</v>
      </c>
      <c r="AY34" s="170">
        <f>IF(ISNA(VLOOKUP($AW34,Fielding!$B$5:$H$79,3,FALSE)),0,(VLOOKUP($AW34,Fielding!$B$5:$H$79,3,FALSE)))</f>
        <v>1</v>
      </c>
      <c r="AZ34" s="170" t="str">
        <f>IF(ISNA(VLOOKUP($AW34,Fielding!$B$5:$H$79,4,FALSE)),0,(VLOOKUP($AW34,Fielding!$B$5:$H$79,4,FALSE)))</f>
        <v>0</v>
      </c>
      <c r="BA34" s="170" t="str">
        <f>IF(ISNA(VLOOKUP($AW34,Fielding!$B$5:$H$79,5,FALSE)),0,(VLOOKUP($AW34,Fielding!$B$5:$H$79,5,FALSE)))</f>
        <v>0</v>
      </c>
      <c r="BC34" s="178">
        <f>IF(ISNA(VLOOKUP($AW34,Fielding!$B$5:$H$79,7,FALSE)),0,(VLOOKUP($AW34,Fielding!$B$5:$H$79,7,FALSE)))</f>
        <v>8</v>
      </c>
    </row>
    <row r="35" spans="1:55" ht="13.5" customHeight="1" x14ac:dyDescent="0.2">
      <c r="A35" s="119"/>
      <c r="B35" s="157">
        <f t="shared" si="14"/>
        <v>32</v>
      </c>
      <c r="C35" s="158" t="s">
        <v>220</v>
      </c>
      <c r="D35" s="159" t="s">
        <v>191</v>
      </c>
      <c r="E35" s="160">
        <f t="shared" si="15"/>
        <v>7</v>
      </c>
      <c r="F35" s="161">
        <f t="shared" si="16"/>
        <v>-16</v>
      </c>
      <c r="G35" s="162">
        <f t="shared" si="17"/>
        <v>5</v>
      </c>
      <c r="H35" s="161">
        <f t="shared" si="18"/>
        <v>-1.6</v>
      </c>
      <c r="I35" s="162" t="str">
        <f t="shared" si="19"/>
        <v/>
      </c>
      <c r="J35" s="161">
        <f t="shared" si="20"/>
        <v>0</v>
      </c>
      <c r="K35" s="162" t="str">
        <f t="shared" si="21"/>
        <v/>
      </c>
      <c r="L35" s="117"/>
      <c r="M35" s="163">
        <f t="shared" si="22"/>
        <v>-17.600000000000001</v>
      </c>
      <c r="N35" s="165">
        <f t="shared" si="28"/>
        <v>-2.5142857142857147</v>
      </c>
      <c r="P35" s="116"/>
      <c r="Q35" s="158" t="str">
        <f t="shared" si="23"/>
        <v>GILLIAN, Kahuna</v>
      </c>
      <c r="R35" s="159" t="str">
        <f t="shared" si="24"/>
        <v>(ENG)</v>
      </c>
      <c r="S35" s="170">
        <f>IF(ISNA(VLOOKUP($Q35,Batting!$B$5:$M$103,3,FALSE)),0,(VLOOKUP($Q35,Batting!$B$5:$M$103,3,FALSE)))</f>
        <v>7</v>
      </c>
      <c r="T35" s="171">
        <f>IF(ISNA(VLOOKUP($Q35,Batting!$B$5:$M$103,4,FALSE)),0,(VLOOKUP($Q35,Batting!$B$5:$M$103,4,FALSE)))</f>
        <v>6</v>
      </c>
      <c r="U35" s="171">
        <f>IF(ISNA(VLOOKUP($Q35,Batting!$B$5:$M$103,5,FALSE)),0,(VLOOKUP($Q35,Batting!$B$5:$M$103,5,FALSE)))</f>
        <v>3</v>
      </c>
      <c r="V35" s="171">
        <f>IF(ISNA(VLOOKUP($Q35,Batting!$B$5:$M$103,6,FALSE)),0,(VLOOKUP($Q35,Batting!$B$5:$M$103,6,FALSE)))</f>
        <v>5</v>
      </c>
      <c r="W35" s="172">
        <f>IF(ISNA(VLOOKUP($Q35,Batting!$B$5:$M$103,7,FALSE)),0,(VLOOKUP($Q35,Batting!$B$5:$M$103,7,FALSE)))</f>
        <v>3</v>
      </c>
      <c r="X35" s="171">
        <f>IF(ISNA(VLOOKUP($Q35,Batting!$B$5:$M$103,8,FALSE)),0,(VLOOKUP($Q35,Batting!$B$5:$M$103,8,FALSE)))</f>
        <v>0</v>
      </c>
      <c r="Y35" s="173">
        <f>IF(ISNA(VLOOKUP($Q35,Batting!$B$5:$M$103,9,FALSE)),0,(VLOOKUP($Q35,Batting!$B$5:$M$103,9,FALSE)))</f>
        <v>1.6666666666666667</v>
      </c>
      <c r="Z35" s="194" t="str">
        <f>IF(ISNA(VLOOKUP($Q35,Batting!$B$5:$M$103,10,FALSE)),"",(VLOOKUP($Q35,Batting!$B$5:$M$103,10,FALSE)))</f>
        <v/>
      </c>
      <c r="AA35" s="121"/>
      <c r="AB35" s="174">
        <f>IF(ISNA(VLOOKUP($Q35,Batting!$B$5:$M$103,12,FALSE)),0,(VLOOKUP($Q35,Batting!$B$5:$M$103,12,FALSE)))</f>
        <v>-16</v>
      </c>
      <c r="AD35" s="158" t="str">
        <f t="shared" si="25"/>
        <v>GILLIAN, Kahuna</v>
      </c>
      <c r="AE35" s="159" t="str">
        <f t="shared" si="26"/>
        <v>(ENG)</v>
      </c>
      <c r="AF35" s="170">
        <f>IF(ISNA(VLOOKUP($AD35,Bowling!$B$4:$S$36,3,FALSE)),0,(VLOOKUP($AD35,Bowling!$B$4:$S$36,3,FALSE)))</f>
        <v>7</v>
      </c>
      <c r="AG35" s="171">
        <f>IF(ISNA(VLOOKUP($AD35,Bowling!$B$4:$S$36,4,FALSE)),0,(VLOOKUP($AD35,Bowling!$B$4:$S$36,4,FALSE)))</f>
        <v>1</v>
      </c>
      <c r="AH35" s="175">
        <f>IF(ISNA(VLOOKUP($AD35,Bowling!$B$4:$S$36,5,FALSE)),0,(VLOOKUP($AD35,Bowling!$B$4:$S$36,5,FALSE)))</f>
        <v>1</v>
      </c>
      <c r="AI35" s="176">
        <f>IF(ISNA(VLOOKUP($AD35,Bowling!$B$4:$S$36,6,FALSE)),0,(VLOOKUP($AD35,Bowling!$B$4:$S$36,6,FALSE)))</f>
        <v>0</v>
      </c>
      <c r="AJ35" s="176">
        <f>IF(ISNA(VLOOKUP($AD35,Bowling!$B$4:$S$36,7,FALSE)),0,(VLOOKUP($AD35,Bowling!$B$4:$S$36,7,FALSE)))</f>
        <v>8</v>
      </c>
      <c r="AK35" s="176">
        <f>IF(ISNA(VLOOKUP($AD35,Bowling!$B$4:$S$36,8,FALSE)),0,(VLOOKUP($AD35,Bowling!$B$4:$S$36,8,FALSE)))</f>
        <v>0</v>
      </c>
      <c r="AL35" s="175" t="str">
        <f>IF(ISNA(VLOOKUP($AD35,Bowling!$B$4:$S$36,9,FALSE)),0,(VLOOKUP($AD35,Bowling!$B$4:$S$36,9,FALSE)))</f>
        <v>-</v>
      </c>
      <c r="AM35" s="175">
        <f>IF(ISNA(VLOOKUP($AD35,Bowling!$B$4:$S$36,10,FALSE)),0,(VLOOKUP($AD35,Bowling!$B$4:$S$36,10,FALSE)))</f>
        <v>8</v>
      </c>
      <c r="AN35" s="175" t="str">
        <f>IF(ISNA(VLOOKUP($AD35,Bowling!$B$4:$S$36,11,FALSE)),0,(VLOOKUP($AD35,Bowling!$B$4:$S$36,11,FALSE)))</f>
        <v>-</v>
      </c>
      <c r="AO35" s="134"/>
      <c r="AP35" s="170">
        <f>IF(ISNA(VLOOKUP($AD35,Bowling!$B$4:$S$36,13,FALSE)),0,(VLOOKUP($AD35,Bowling!$B$4:$S$36,13,FALSE)))</f>
        <v>0</v>
      </c>
      <c r="AQ35" s="170">
        <f>IF(ISNA(VLOOKUP($AD35,Bowling!$B$4:$S$36,14,FALSE)),0,(VLOOKUP($AD35,Bowling!$B$4:$S$36,14,FALSE)))</f>
        <v>0</v>
      </c>
      <c r="AR35" s="170">
        <f>IF(ISNA(VLOOKUP($AD35,Bowling!$B$4:$S$36,15,FALSE)),0,(VLOOKUP($AD35,Bowling!$B$4:$S$36,15,FALSE)))</f>
        <v>0</v>
      </c>
      <c r="AS35" s="170">
        <f>IF(ISNA(VLOOKUP($AD35,Bowling!$B$4:$S$36,16,FALSE)),0,(VLOOKUP($AD35,Bowling!$B$4:$S$36,16,FALSE)))</f>
        <v>0</v>
      </c>
      <c r="AT35" s="124"/>
      <c r="AU35" s="177">
        <f>IF(ISNA(VLOOKUP($AD35,Bowling!$B$4:$S$36,18,FALSE)),0,(VLOOKUP($AD35,Bowling!$B$4:$S$36,18,FALSE)))</f>
        <v>-1.6</v>
      </c>
      <c r="AW35" s="158" t="str">
        <f t="shared" si="29"/>
        <v>GILLIAN, Kahuna</v>
      </c>
      <c r="AX35" s="159" t="str">
        <f t="shared" si="27"/>
        <v>(ENG)</v>
      </c>
      <c r="AY35" s="170">
        <f>IF(ISNA(VLOOKUP($AW35,Fielding!$B$5:$H$79,3,FALSE)),0,(VLOOKUP($AW35,Fielding!$B$5:$H$79,3,FALSE)))</f>
        <v>0</v>
      </c>
      <c r="AZ35" s="170">
        <f>IF(ISNA(VLOOKUP($AW35,Fielding!$B$5:$H$79,4,FALSE)),0,(VLOOKUP($AW35,Fielding!$B$5:$H$79,4,FALSE)))</f>
        <v>0</v>
      </c>
      <c r="BA35" s="170">
        <f>IF(ISNA(VLOOKUP($AW35,Fielding!$B$5:$H$79,5,FALSE)),0,(VLOOKUP($AW35,Fielding!$B$5:$H$79,5,FALSE)))</f>
        <v>0</v>
      </c>
      <c r="BC35" s="178">
        <f>IF(ISNA(VLOOKUP($AW35,Fielding!$B$5:$H$79,7,FALSE)),0,(VLOOKUP($AW35,Fielding!$B$5:$H$79,7,FALSE)))</f>
        <v>0</v>
      </c>
    </row>
    <row r="36" spans="1:55" s="136" customFormat="1" ht="13.5" customHeight="1" x14ac:dyDescent="0.2">
      <c r="B36" s="137"/>
      <c r="C36" s="137"/>
      <c r="D36" s="137"/>
      <c r="E36" s="137"/>
      <c r="F36" s="137"/>
      <c r="G36" s="137"/>
      <c r="H36" s="137"/>
      <c r="I36" s="137"/>
      <c r="J36" s="137"/>
      <c r="K36" s="137"/>
      <c r="L36" s="138"/>
      <c r="M36" s="137">
        <f>SUM(M4:M35)</f>
        <v>3514.7999999999988</v>
      </c>
      <c r="P36" s="139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B36" s="140">
        <f>SUM(AB4:AB35)</f>
        <v>1685</v>
      </c>
      <c r="AD36" s="137"/>
      <c r="AE36" s="137"/>
      <c r="AF36" s="137"/>
      <c r="AG36" s="137"/>
      <c r="AH36" s="137"/>
      <c r="AI36" s="137"/>
      <c r="AJ36" s="137"/>
      <c r="AK36" s="137"/>
      <c r="AL36" s="137"/>
      <c r="AM36" s="137"/>
      <c r="AN36" s="137"/>
      <c r="AP36" s="137"/>
      <c r="AQ36" s="137"/>
      <c r="AR36" s="137"/>
      <c r="AS36" s="137"/>
      <c r="AT36" s="141"/>
      <c r="AU36" s="140">
        <f>SUM(AU4:AU35)</f>
        <v>1481.8000000000009</v>
      </c>
      <c r="AW36" s="137"/>
      <c r="AX36" s="137"/>
      <c r="AY36" s="140">
        <f>SUM(AY4:AY35)</f>
        <v>41</v>
      </c>
      <c r="AZ36" s="140">
        <f>SUM(AZ4:AZ35)</f>
        <v>1</v>
      </c>
      <c r="BA36" s="140">
        <f>SUM(BA4:BA35)</f>
        <v>1</v>
      </c>
      <c r="BC36" s="140">
        <f>SUM(BC4:BC35)</f>
        <v>348</v>
      </c>
    </row>
    <row r="37" spans="1:55" ht="13.5" customHeight="1" x14ac:dyDescent="0.2">
      <c r="B37" s="142" t="s">
        <v>110</v>
      </c>
      <c r="C37" s="143"/>
      <c r="D37" s="144"/>
      <c r="E37" s="145"/>
      <c r="F37" s="145"/>
      <c r="G37" s="145"/>
      <c r="H37" s="145"/>
      <c r="I37" s="145"/>
      <c r="J37" s="145"/>
      <c r="K37" s="145"/>
      <c r="L37" s="145"/>
      <c r="M37" s="141">
        <f>M36-AB36-AU36-BC36</f>
        <v>-2.0463630789890885E-12</v>
      </c>
      <c r="N37" s="145"/>
      <c r="P37" s="116"/>
      <c r="Q37" s="146"/>
      <c r="R37" s="146"/>
      <c r="S37" s="146"/>
      <c r="T37" s="146"/>
      <c r="U37" s="146"/>
      <c r="V37" s="146"/>
      <c r="W37" s="146"/>
      <c r="AB37" s="147">
        <f>AB36-Batting!M42</f>
        <v>0</v>
      </c>
      <c r="AU37" s="147">
        <f>AU36-Bowling!S37</f>
        <v>0</v>
      </c>
      <c r="BC37" s="147">
        <f>BC36-Fielding!H21</f>
        <v>0</v>
      </c>
    </row>
    <row r="38" spans="1:55" ht="13.5" customHeight="1" x14ac:dyDescent="0.2">
      <c r="B38" s="148" t="s">
        <v>195</v>
      </c>
      <c r="C38" s="148"/>
      <c r="D38" s="129"/>
      <c r="E38" s="117"/>
      <c r="F38" s="117"/>
      <c r="G38" s="117"/>
      <c r="H38" s="117"/>
      <c r="I38" s="117"/>
      <c r="J38" s="117"/>
      <c r="K38" s="117"/>
      <c r="L38" s="117"/>
      <c r="M38" s="117"/>
      <c r="N38" s="117"/>
      <c r="P38" s="116"/>
      <c r="Q38" s="146"/>
      <c r="R38" s="146"/>
      <c r="S38" s="146"/>
      <c r="T38" s="146"/>
      <c r="V38" s="146"/>
      <c r="W38" s="146"/>
    </row>
    <row r="39" spans="1:55" ht="13.5" customHeight="1" x14ac:dyDescent="0.2">
      <c r="B39" s="148" t="s">
        <v>194</v>
      </c>
      <c r="C39" s="149"/>
      <c r="D39" s="149"/>
      <c r="E39" s="149"/>
      <c r="F39" s="149"/>
      <c r="G39" s="149"/>
      <c r="H39" s="149"/>
      <c r="I39" s="149"/>
      <c r="J39" s="149"/>
      <c r="K39" s="149"/>
      <c r="L39" s="149"/>
      <c r="M39" s="149"/>
      <c r="N39" s="149"/>
      <c r="P39" s="149"/>
      <c r="Q39" s="149"/>
    </row>
    <row r="40" spans="1:55" ht="13.5" customHeight="1" x14ac:dyDescent="0.2">
      <c r="B40" s="148" t="s">
        <v>196</v>
      </c>
      <c r="C40" s="148"/>
      <c r="D40" s="129"/>
      <c r="E40" s="117"/>
      <c r="F40" s="117"/>
      <c r="G40" s="117"/>
      <c r="H40" s="117"/>
      <c r="I40" s="117"/>
      <c r="J40" s="117"/>
      <c r="K40" s="117"/>
      <c r="L40" s="117"/>
      <c r="M40" s="117"/>
      <c r="N40" s="117"/>
    </row>
    <row r="41" spans="1:55" ht="13.5" customHeight="1" x14ac:dyDescent="0.2">
      <c r="B41" s="148" t="s">
        <v>197</v>
      </c>
      <c r="C41" s="148"/>
      <c r="D41" s="129"/>
      <c r="E41" s="117"/>
      <c r="F41" s="117"/>
      <c r="G41" s="117"/>
      <c r="H41" s="117"/>
      <c r="I41" s="117"/>
      <c r="J41" s="117"/>
      <c r="K41" s="117"/>
      <c r="L41" s="117"/>
      <c r="M41" s="117"/>
      <c r="N41" s="117"/>
    </row>
    <row r="42" spans="1:55" ht="13.5" customHeight="1" x14ac:dyDescent="0.2">
      <c r="B42" s="148" t="s">
        <v>198</v>
      </c>
      <c r="C42" s="148"/>
      <c r="D42" s="129"/>
      <c r="E42" s="117"/>
      <c r="F42" s="117"/>
      <c r="G42" s="117"/>
      <c r="H42" s="117"/>
      <c r="I42" s="117"/>
      <c r="J42" s="117"/>
      <c r="K42" s="117"/>
      <c r="L42" s="117"/>
      <c r="M42" s="117"/>
      <c r="N42" s="117"/>
    </row>
    <row r="43" spans="1:55" ht="13.5" customHeight="1" x14ac:dyDescent="0.2">
      <c r="B43" s="148" t="s">
        <v>199</v>
      </c>
      <c r="C43" s="148"/>
      <c r="D43" s="129"/>
      <c r="E43" s="117"/>
      <c r="F43" s="117"/>
      <c r="G43" s="117"/>
      <c r="H43" s="117"/>
      <c r="I43" s="117"/>
      <c r="J43" s="117"/>
      <c r="K43" s="117"/>
      <c r="L43" s="117"/>
      <c r="M43" s="117"/>
      <c r="N43" s="117"/>
    </row>
    <row r="44" spans="1:55" ht="13.5" customHeight="1" x14ac:dyDescent="0.2">
      <c r="B44" s="119"/>
      <c r="C44" s="117"/>
      <c r="D44" s="117"/>
      <c r="E44" s="117"/>
      <c r="F44" s="117"/>
      <c r="G44" s="117"/>
      <c r="H44" s="117"/>
      <c r="I44" s="117"/>
      <c r="J44" s="117"/>
      <c r="K44" s="117"/>
      <c r="L44" s="117"/>
      <c r="M44" s="117"/>
      <c r="N44" s="117"/>
    </row>
    <row r="45" spans="1:55" x14ac:dyDescent="0.2">
      <c r="B45" s="150"/>
      <c r="C45" s="129"/>
      <c r="D45" s="129"/>
      <c r="E45" s="129"/>
      <c r="F45" s="129"/>
      <c r="G45" s="129"/>
      <c r="H45" s="129"/>
      <c r="I45" s="129"/>
      <c r="J45" s="129"/>
      <c r="K45" s="129"/>
      <c r="L45" s="129"/>
      <c r="M45" s="129"/>
      <c r="N45" s="129"/>
    </row>
    <row r="46" spans="1:55" x14ac:dyDescent="0.2">
      <c r="B46" s="129"/>
      <c r="C46" s="129"/>
      <c r="D46" s="129"/>
      <c r="E46" s="129"/>
      <c r="F46" s="129"/>
      <c r="G46" s="129"/>
      <c r="H46" s="129"/>
      <c r="I46" s="129"/>
      <c r="J46" s="129"/>
      <c r="K46" s="129"/>
      <c r="L46" s="129"/>
      <c r="M46" s="129"/>
      <c r="N46" s="129"/>
    </row>
    <row r="47" spans="1:55" x14ac:dyDescent="0.2">
      <c r="B47" s="129"/>
      <c r="E47" s="129"/>
      <c r="F47" s="129"/>
      <c r="G47" s="129"/>
      <c r="H47" s="129"/>
      <c r="I47" s="129"/>
      <c r="J47" s="129"/>
      <c r="K47" s="129"/>
      <c r="L47" s="129"/>
      <c r="M47" s="129"/>
      <c r="N47" s="129"/>
    </row>
    <row r="48" spans="1:55" x14ac:dyDescent="0.2">
      <c r="B48" s="129"/>
      <c r="E48" s="129"/>
      <c r="F48" s="129"/>
      <c r="G48" s="129"/>
      <c r="H48" s="129"/>
      <c r="I48" s="129"/>
      <c r="J48" s="129"/>
      <c r="K48" s="129"/>
      <c r="L48" s="129"/>
      <c r="M48" s="129"/>
      <c r="N48" s="129"/>
    </row>
    <row r="162" spans="1:14" x14ac:dyDescent="0.2">
      <c r="A162" s="119"/>
      <c r="B162" s="151"/>
      <c r="C162" s="151"/>
      <c r="D162" s="151"/>
      <c r="E162" s="151"/>
      <c r="F162" s="151"/>
      <c r="G162" s="151"/>
      <c r="H162" s="151"/>
      <c r="I162" s="151"/>
      <c r="J162" s="151"/>
      <c r="K162" s="146"/>
      <c r="M162" s="151"/>
      <c r="N162" s="151"/>
    </row>
    <row r="163" spans="1:14" x14ac:dyDescent="0.2">
      <c r="A163" s="119"/>
      <c r="B163" s="130" t="e">
        <f>#REF!+1</f>
        <v>#REF!</v>
      </c>
      <c r="C163" s="131" t="s">
        <v>92</v>
      </c>
      <c r="D163" s="152" t="s">
        <v>38</v>
      </c>
      <c r="E163" s="133">
        <v>9</v>
      </c>
      <c r="F163" s="132">
        <v>24</v>
      </c>
      <c r="G163" s="132"/>
      <c r="H163" s="153">
        <v>47.8</v>
      </c>
      <c r="I163" s="153"/>
      <c r="J163" s="132">
        <v>8</v>
      </c>
      <c r="K163" s="154"/>
      <c r="L163" s="146"/>
      <c r="M163" s="135">
        <f>SUM(F163:J163)</f>
        <v>79.8</v>
      </c>
      <c r="N163" s="135"/>
    </row>
    <row r="164" spans="1:14" x14ac:dyDescent="0.2">
      <c r="A164" s="119"/>
      <c r="B164" s="130" t="e">
        <f>B163+1</f>
        <v>#REF!</v>
      </c>
      <c r="C164" s="131" t="s">
        <v>36</v>
      </c>
      <c r="D164" s="152" t="s">
        <v>34</v>
      </c>
      <c r="E164" s="133">
        <v>9</v>
      </c>
      <c r="F164" s="132">
        <v>71</v>
      </c>
      <c r="G164" s="132"/>
      <c r="H164" s="153" t="s">
        <v>41</v>
      </c>
      <c r="I164" s="153"/>
      <c r="J164" s="132" t="s">
        <v>41</v>
      </c>
      <c r="K164" s="154"/>
      <c r="L164" s="146"/>
      <c r="M164" s="135">
        <f>SUM(F164:J164)</f>
        <v>71</v>
      </c>
      <c r="N164" s="135"/>
    </row>
    <row r="165" spans="1:14" x14ac:dyDescent="0.2">
      <c r="B165" s="130" t="e">
        <f>B164+1</f>
        <v>#REF!</v>
      </c>
      <c r="C165" s="131" t="s">
        <v>55</v>
      </c>
      <c r="D165" s="152" t="s">
        <v>32</v>
      </c>
      <c r="E165" s="133">
        <v>12</v>
      </c>
      <c r="F165" s="155">
        <v>21</v>
      </c>
      <c r="G165" s="155"/>
      <c r="H165" s="153" t="s">
        <v>41</v>
      </c>
      <c r="I165" s="153"/>
      <c r="J165" s="132" t="s">
        <v>41</v>
      </c>
      <c r="K165" s="154"/>
      <c r="M165" s="135">
        <f>SUM(F165:J165)</f>
        <v>21</v>
      </c>
      <c r="N165" s="135"/>
    </row>
    <row r="166" spans="1:14" x14ac:dyDescent="0.2">
      <c r="B166" s="156"/>
      <c r="C166" s="156"/>
      <c r="D166" s="156"/>
      <c r="E166" s="156"/>
      <c r="F166" s="156"/>
      <c r="G166" s="156"/>
      <c r="H166" s="156"/>
      <c r="I166" s="156"/>
      <c r="J166" s="156"/>
      <c r="K166" s="146"/>
      <c r="M166" s="156"/>
      <c r="N166" s="156"/>
    </row>
    <row r="217" spans="1:1" x14ac:dyDescent="0.2">
      <c r="A217" s="119"/>
    </row>
    <row r="218" spans="1:1" x14ac:dyDescent="0.2">
      <c r="A218" s="119"/>
    </row>
    <row r="219" spans="1:1" x14ac:dyDescent="0.2">
      <c r="A219" s="119"/>
    </row>
    <row r="220" spans="1:1" x14ac:dyDescent="0.2">
      <c r="A220" s="119"/>
    </row>
    <row r="221" spans="1:1" x14ac:dyDescent="0.2">
      <c r="A221" s="119"/>
    </row>
    <row r="222" spans="1:1" x14ac:dyDescent="0.2">
      <c r="A222" s="119"/>
    </row>
    <row r="223" spans="1:1" x14ac:dyDescent="0.2">
      <c r="A223" s="119"/>
    </row>
    <row r="224" spans="1:1" x14ac:dyDescent="0.2">
      <c r="A224" s="119"/>
    </row>
    <row r="227" spans="2:14" x14ac:dyDescent="0.2">
      <c r="B227" s="151"/>
      <c r="C227" s="151"/>
      <c r="D227" s="151"/>
      <c r="E227" s="151"/>
      <c r="F227" s="151"/>
      <c r="G227" s="151"/>
      <c r="H227" s="151"/>
      <c r="I227" s="151"/>
      <c r="J227" s="151"/>
      <c r="K227" s="146"/>
      <c r="M227" s="151"/>
      <c r="N227" s="151"/>
    </row>
    <row r="228" spans="2:14" x14ac:dyDescent="0.2">
      <c r="B228" s="146"/>
      <c r="C228" s="146"/>
      <c r="D228" s="146"/>
      <c r="E228" s="146"/>
      <c r="F228" s="146"/>
      <c r="G228" s="146"/>
      <c r="H228" s="146"/>
      <c r="I228" s="146"/>
      <c r="J228" s="146"/>
      <c r="K228" s="146"/>
      <c r="L228" s="146"/>
      <c r="M228" s="146"/>
      <c r="N228" s="146"/>
    </row>
  </sheetData>
  <sortState xmlns:xlrd2="http://schemas.microsoft.com/office/spreadsheetml/2017/richdata2" ref="A5:BC35">
    <sortCondition descending="1" ref="M5:M35"/>
    <sortCondition ref="C5:C35"/>
  </sortState>
  <mergeCells count="7">
    <mergeCell ref="B3:D3"/>
    <mergeCell ref="F2:G2"/>
    <mergeCell ref="H2:I2"/>
    <mergeCell ref="J2:K2"/>
    <mergeCell ref="F3:G3"/>
    <mergeCell ref="H3:I3"/>
    <mergeCell ref="J3:K3"/>
  </mergeCells>
  <phoneticPr fontId="9" type="noConversion"/>
  <conditionalFormatting sqref="Y4:Y6 Y8:Z19 Y24:Z24 Y31:Z32 Y34:Z35">
    <cfRule type="expression" dxfId="14" priority="20" stopIfTrue="1">
      <formula>T4-U4&lt;5</formula>
    </cfRule>
  </conditionalFormatting>
  <conditionalFormatting sqref="Z4">
    <cfRule type="expression" dxfId="13" priority="18" stopIfTrue="1">
      <formula>U4-V4&lt;5</formula>
    </cfRule>
  </conditionalFormatting>
  <conditionalFormatting sqref="Z5:Z6">
    <cfRule type="expression" dxfId="12" priority="16" stopIfTrue="1">
      <formula>U5-V5&lt;5</formula>
    </cfRule>
  </conditionalFormatting>
  <conditionalFormatting sqref="Y7">
    <cfRule type="expression" dxfId="11" priority="12" stopIfTrue="1">
      <formula>T7-U7&lt;5</formula>
    </cfRule>
  </conditionalFormatting>
  <conditionalFormatting sqref="Z7">
    <cfRule type="expression" dxfId="10" priority="11" stopIfTrue="1">
      <formula>U7-V7&lt;5</formula>
    </cfRule>
  </conditionalFormatting>
  <conditionalFormatting sqref="Y20:Z20">
    <cfRule type="expression" dxfId="9" priority="10" stopIfTrue="1">
      <formula>T20-U20&lt;5</formula>
    </cfRule>
  </conditionalFormatting>
  <conditionalFormatting sqref="Y22:Z22">
    <cfRule type="expression" dxfId="8" priority="9" stopIfTrue="1">
      <formula>T22-U22&lt;5</formula>
    </cfRule>
  </conditionalFormatting>
  <conditionalFormatting sqref="Y23:Z23">
    <cfRule type="expression" dxfId="7" priority="8" stopIfTrue="1">
      <formula>T23-U23&lt;5</formula>
    </cfRule>
  </conditionalFormatting>
  <conditionalFormatting sqref="Y27:Z27 Y29:Z29">
    <cfRule type="expression" dxfId="6" priority="7" stopIfTrue="1">
      <formula>T27-U27&lt;5</formula>
    </cfRule>
  </conditionalFormatting>
  <conditionalFormatting sqref="Y21:Z21">
    <cfRule type="expression" dxfId="5" priority="6" stopIfTrue="1">
      <formula>T21-U21&lt;5</formula>
    </cfRule>
  </conditionalFormatting>
  <conditionalFormatting sqref="Y26:Z26">
    <cfRule type="expression" dxfId="4" priority="5" stopIfTrue="1">
      <formula>T26-U26&lt;5</formula>
    </cfRule>
  </conditionalFormatting>
  <conditionalFormatting sqref="Y25:Z25">
    <cfRule type="expression" dxfId="3" priority="4" stopIfTrue="1">
      <formula>T25-U25&lt;5</formula>
    </cfRule>
  </conditionalFormatting>
  <conditionalFormatting sqref="Y30:Z30">
    <cfRule type="expression" dxfId="2" priority="3" stopIfTrue="1">
      <formula>T30-U30&lt;5</formula>
    </cfRule>
  </conditionalFormatting>
  <conditionalFormatting sqref="Y28:Z28">
    <cfRule type="expression" dxfId="1" priority="2" stopIfTrue="1">
      <formula>T28-U28&lt;5</formula>
    </cfRule>
  </conditionalFormatting>
  <conditionalFormatting sqref="Y33:Z33">
    <cfRule type="expression" dxfId="0" priority="1" stopIfTrue="1">
      <formula>T33-U33&lt;5</formula>
    </cfRule>
  </conditionalFormatting>
  <pageMargins left="0.75" right="0.75" top="1" bottom="1" header="0.5" footer="0.5"/>
  <pageSetup paperSize="9" orientation="portrait" horizontalDpi="4294967293" r:id="rId1"/>
  <headerFooter alignWithMargins="0"/>
  <ignoredErrors>
    <ignoredError sqref="BD44:IX44 AV44 AU46 AH46:AS46 AW46:BC46 A44 P44:AC44 AD46:AF46" formula="1"/>
    <ignoredError sqref="AW47:BC65531 D45:D46 AV2:AV3 AH37:AN38 AO36:AO38 AP37:AS38 AH47:AS65531 AW37:BA38 BB36:BB38 BC38 AH39:AS45 B37 AA36:AA39 AV36:AV43 AB38:AB39 B44 AC36:AC39 H40:H65531 Q37:Q38 AU47:AU65531 P40:AC43 J40:J65531 P36:P38 BD36:IX43 P2:P3 A45:A65531 AU38:AU45 AW39:BC45 AV45:AV65531 C46 L38:M38 BD45:IX65531 B46:B65531 L45:M65531 C50:D65531 A2:D2 L40:M44 A36:A43 BD2:IX3 E3 J37:J38 C40:F44 E45:F65531 C37:F38 H37:H38 R37:T39 V37:Z39 U37 AD47:AF65531 AD37:AF45 P45:AC65531 L37" formula="1" formulaRange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1F8077-FC0F-4F20-AEC8-35B0C8F5A76C}">
  <dimension ref="A1:EA224"/>
  <sheetViews>
    <sheetView showGridLines="0" workbookViewId="0">
      <selection activeCell="A59" sqref="A59"/>
    </sheetView>
  </sheetViews>
  <sheetFormatPr defaultColWidth="8.7109375" defaultRowHeight="12.75" x14ac:dyDescent="0.2"/>
  <cols>
    <col min="1" max="1" width="1.85546875" style="125" customWidth="1"/>
    <col min="2" max="2" width="2.7109375" style="125" bestFit="1" customWidth="1"/>
    <col min="3" max="3" width="19" style="125" bestFit="1" customWidth="1"/>
    <col min="4" max="4" width="5.85546875" style="125" bestFit="1" customWidth="1"/>
    <col min="5" max="5" width="3.85546875" style="125" bestFit="1" customWidth="1"/>
    <col min="6" max="9" width="4.7109375" style="125" bestFit="1" customWidth="1"/>
    <col min="10" max="10" width="5.140625" style="125" bestFit="1" customWidth="1"/>
    <col min="11" max="14" width="4.7109375" style="125" bestFit="1" customWidth="1"/>
    <col min="15" max="15" width="5.140625" style="125" bestFit="1" customWidth="1"/>
    <col min="16" max="72" width="4.7109375" style="125" bestFit="1" customWidth="1"/>
    <col min="73" max="73" width="5.140625" style="125" bestFit="1" customWidth="1"/>
    <col min="74" max="77" width="4.7109375" style="125" bestFit="1" customWidth="1"/>
    <col min="78" max="78" width="5.140625" style="125" bestFit="1" customWidth="1"/>
    <col min="79" max="85" width="4.7109375" style="125" bestFit="1" customWidth="1"/>
    <col min="86" max="86" width="5.140625" style="125" bestFit="1" customWidth="1"/>
    <col min="87" max="92" width="4.7109375" style="125" bestFit="1" customWidth="1"/>
    <col min="93" max="110" width="5.140625" style="125" bestFit="1" customWidth="1"/>
    <col min="111" max="112" width="3.140625" style="125" bestFit="1" customWidth="1"/>
    <col min="113" max="131" width="4.140625" style="125" bestFit="1" customWidth="1"/>
    <col min="132" max="16384" width="8.7109375" style="125"/>
  </cols>
  <sheetData>
    <row r="1" spans="1:131" s="399" customFormat="1" x14ac:dyDescent="0.2">
      <c r="F1" s="490" t="s">
        <v>14</v>
      </c>
      <c r="G1" s="491"/>
      <c r="H1" s="491"/>
      <c r="I1" s="491"/>
      <c r="J1" s="491"/>
      <c r="K1" s="491"/>
      <c r="L1" s="491"/>
      <c r="M1" s="491"/>
      <c r="N1" s="491"/>
      <c r="O1" s="491"/>
      <c r="P1" s="491"/>
      <c r="Q1" s="491"/>
      <c r="R1" s="491"/>
      <c r="S1" s="491"/>
      <c r="T1" s="491"/>
      <c r="U1" s="491"/>
      <c r="V1" s="491"/>
      <c r="W1" s="491"/>
      <c r="X1" s="491"/>
      <c r="Y1" s="491"/>
      <c r="Z1" s="492"/>
      <c r="AA1" s="490" t="s">
        <v>15</v>
      </c>
      <c r="AB1" s="491"/>
      <c r="AC1" s="491"/>
      <c r="AD1" s="491"/>
      <c r="AE1" s="491"/>
      <c r="AF1" s="491"/>
      <c r="AG1" s="491"/>
      <c r="AH1" s="491"/>
      <c r="AI1" s="491"/>
      <c r="AJ1" s="491"/>
      <c r="AK1" s="491"/>
      <c r="AL1" s="491"/>
      <c r="AM1" s="491"/>
      <c r="AN1" s="491"/>
      <c r="AO1" s="491"/>
      <c r="AP1" s="491"/>
      <c r="AQ1" s="491"/>
      <c r="AR1" s="491"/>
      <c r="AS1" s="491"/>
      <c r="AT1" s="491"/>
      <c r="AU1" s="492"/>
      <c r="AV1" s="490" t="s">
        <v>175</v>
      </c>
      <c r="AW1" s="491"/>
      <c r="AX1" s="491"/>
      <c r="AY1" s="491"/>
      <c r="AZ1" s="491"/>
      <c r="BA1" s="491"/>
      <c r="BB1" s="491"/>
      <c r="BC1" s="491"/>
      <c r="BD1" s="491"/>
      <c r="BE1" s="491"/>
      <c r="BF1" s="491"/>
      <c r="BG1" s="491"/>
      <c r="BH1" s="491"/>
      <c r="BI1" s="491"/>
      <c r="BJ1" s="491"/>
      <c r="BK1" s="491"/>
      <c r="BL1" s="491"/>
      <c r="BM1" s="491"/>
      <c r="BN1" s="491"/>
      <c r="BO1" s="491"/>
      <c r="BP1" s="492"/>
      <c r="BQ1" s="490" t="s">
        <v>109</v>
      </c>
      <c r="BR1" s="491"/>
      <c r="BS1" s="491"/>
      <c r="BT1" s="491"/>
      <c r="BU1" s="491"/>
      <c r="BV1" s="491"/>
      <c r="BW1" s="491"/>
      <c r="BX1" s="491"/>
      <c r="BY1" s="491"/>
      <c r="BZ1" s="491"/>
      <c r="CA1" s="491"/>
      <c r="CB1" s="491"/>
      <c r="CC1" s="491"/>
      <c r="CD1" s="491"/>
      <c r="CE1" s="491"/>
      <c r="CF1" s="491"/>
      <c r="CG1" s="491"/>
      <c r="CH1" s="491"/>
      <c r="CI1" s="491"/>
      <c r="CJ1" s="491"/>
      <c r="CK1" s="492"/>
      <c r="CL1" s="490" t="s">
        <v>288</v>
      </c>
      <c r="CM1" s="491"/>
      <c r="CN1" s="491"/>
      <c r="CO1" s="491"/>
      <c r="CP1" s="491"/>
      <c r="CQ1" s="491"/>
      <c r="CR1" s="491"/>
      <c r="CS1" s="491"/>
      <c r="CT1" s="491"/>
      <c r="CU1" s="491"/>
      <c r="CV1" s="491"/>
      <c r="CW1" s="491"/>
      <c r="CX1" s="491"/>
      <c r="CY1" s="491"/>
      <c r="CZ1" s="491"/>
      <c r="DA1" s="491"/>
      <c r="DB1" s="491"/>
      <c r="DC1" s="491"/>
      <c r="DD1" s="491"/>
      <c r="DE1" s="491"/>
      <c r="DF1" s="492"/>
      <c r="DG1" s="490" t="s">
        <v>289</v>
      </c>
      <c r="DH1" s="491"/>
      <c r="DI1" s="491"/>
      <c r="DJ1" s="491"/>
      <c r="DK1" s="491"/>
      <c r="DL1" s="491"/>
      <c r="DM1" s="491"/>
      <c r="DN1" s="491"/>
      <c r="DO1" s="491"/>
      <c r="DP1" s="491"/>
      <c r="DQ1" s="491"/>
      <c r="DR1" s="491"/>
      <c r="DS1" s="491"/>
      <c r="DT1" s="491"/>
      <c r="DU1" s="491"/>
      <c r="DV1" s="491"/>
      <c r="DW1" s="491"/>
      <c r="DX1" s="491"/>
      <c r="DY1" s="491"/>
      <c r="DZ1" s="491"/>
      <c r="EA1" s="492"/>
    </row>
    <row r="2" spans="1:131" ht="91.5" x14ac:dyDescent="0.2">
      <c r="A2" s="116"/>
      <c r="B2" s="483" t="s">
        <v>135</v>
      </c>
      <c r="C2" s="484"/>
      <c r="D2" s="485"/>
      <c r="E2" s="166" t="s">
        <v>22</v>
      </c>
      <c r="F2" s="397" t="s">
        <v>5</v>
      </c>
      <c r="G2" s="195" t="s">
        <v>230</v>
      </c>
      <c r="H2" s="195" t="s">
        <v>231</v>
      </c>
      <c r="I2" s="195" t="s">
        <v>7</v>
      </c>
      <c r="J2" s="195" t="s">
        <v>8</v>
      </c>
      <c r="K2" s="195" t="s">
        <v>239</v>
      </c>
      <c r="L2" s="195" t="s">
        <v>241</v>
      </c>
      <c r="M2" s="195" t="s">
        <v>212</v>
      </c>
      <c r="N2" s="195" t="s">
        <v>210</v>
      </c>
      <c r="O2" s="195" t="s">
        <v>11</v>
      </c>
      <c r="P2" s="195" t="s">
        <v>183</v>
      </c>
      <c r="Q2" s="195" t="s">
        <v>187</v>
      </c>
      <c r="R2" s="195" t="s">
        <v>211</v>
      </c>
      <c r="S2" s="195" t="s">
        <v>159</v>
      </c>
      <c r="T2" s="195" t="s">
        <v>251</v>
      </c>
      <c r="U2" s="195" t="s">
        <v>253</v>
      </c>
      <c r="V2" s="195" t="s">
        <v>284</v>
      </c>
      <c r="W2" s="195" t="s">
        <v>257</v>
      </c>
      <c r="X2" s="195" t="s">
        <v>257</v>
      </c>
      <c r="Y2" s="195" t="s">
        <v>9</v>
      </c>
      <c r="Z2" s="398" t="s">
        <v>260</v>
      </c>
      <c r="AA2" s="397" t="s">
        <v>5</v>
      </c>
      <c r="AB2" s="195" t="s">
        <v>230</v>
      </c>
      <c r="AC2" s="195" t="s">
        <v>231</v>
      </c>
      <c r="AD2" s="195" t="s">
        <v>7</v>
      </c>
      <c r="AE2" s="195" t="s">
        <v>8</v>
      </c>
      <c r="AF2" s="195" t="s">
        <v>239</v>
      </c>
      <c r="AG2" s="195" t="s">
        <v>241</v>
      </c>
      <c r="AH2" s="195" t="s">
        <v>212</v>
      </c>
      <c r="AI2" s="195" t="s">
        <v>210</v>
      </c>
      <c r="AJ2" s="195" t="s">
        <v>11</v>
      </c>
      <c r="AK2" s="195" t="s">
        <v>183</v>
      </c>
      <c r="AL2" s="195" t="s">
        <v>187</v>
      </c>
      <c r="AM2" s="195" t="s">
        <v>211</v>
      </c>
      <c r="AN2" s="195" t="s">
        <v>159</v>
      </c>
      <c r="AO2" s="195" t="s">
        <v>251</v>
      </c>
      <c r="AP2" s="195" t="s">
        <v>253</v>
      </c>
      <c r="AQ2" s="195" t="s">
        <v>284</v>
      </c>
      <c r="AR2" s="195" t="s">
        <v>257</v>
      </c>
      <c r="AS2" s="195" t="s">
        <v>257</v>
      </c>
      <c r="AT2" s="195" t="s">
        <v>9</v>
      </c>
      <c r="AU2" s="398" t="s">
        <v>260</v>
      </c>
      <c r="AV2" s="397" t="s">
        <v>5</v>
      </c>
      <c r="AW2" s="195" t="s">
        <v>230</v>
      </c>
      <c r="AX2" s="195" t="s">
        <v>231</v>
      </c>
      <c r="AY2" s="195" t="s">
        <v>7</v>
      </c>
      <c r="AZ2" s="195" t="s">
        <v>8</v>
      </c>
      <c r="BA2" s="195" t="s">
        <v>239</v>
      </c>
      <c r="BB2" s="195" t="s">
        <v>241</v>
      </c>
      <c r="BC2" s="195" t="s">
        <v>212</v>
      </c>
      <c r="BD2" s="195" t="s">
        <v>210</v>
      </c>
      <c r="BE2" s="195" t="s">
        <v>11</v>
      </c>
      <c r="BF2" s="195" t="s">
        <v>183</v>
      </c>
      <c r="BG2" s="195" t="s">
        <v>187</v>
      </c>
      <c r="BH2" s="195" t="s">
        <v>211</v>
      </c>
      <c r="BI2" s="195" t="s">
        <v>159</v>
      </c>
      <c r="BJ2" s="195" t="s">
        <v>251</v>
      </c>
      <c r="BK2" s="195" t="s">
        <v>253</v>
      </c>
      <c r="BL2" s="195" t="s">
        <v>284</v>
      </c>
      <c r="BM2" s="195" t="s">
        <v>257</v>
      </c>
      <c r="BN2" s="195" t="s">
        <v>257</v>
      </c>
      <c r="BO2" s="195" t="s">
        <v>9</v>
      </c>
      <c r="BP2" s="398" t="s">
        <v>260</v>
      </c>
      <c r="BQ2" s="397" t="s">
        <v>5</v>
      </c>
      <c r="BR2" s="195" t="s">
        <v>230</v>
      </c>
      <c r="BS2" s="195" t="s">
        <v>231</v>
      </c>
      <c r="BT2" s="195" t="s">
        <v>7</v>
      </c>
      <c r="BU2" s="195" t="s">
        <v>8</v>
      </c>
      <c r="BV2" s="195" t="s">
        <v>239</v>
      </c>
      <c r="BW2" s="195" t="s">
        <v>241</v>
      </c>
      <c r="BX2" s="195" t="s">
        <v>212</v>
      </c>
      <c r="BY2" s="195" t="s">
        <v>210</v>
      </c>
      <c r="BZ2" s="195" t="s">
        <v>11</v>
      </c>
      <c r="CA2" s="195" t="s">
        <v>183</v>
      </c>
      <c r="CB2" s="195" t="s">
        <v>187</v>
      </c>
      <c r="CC2" s="195" t="s">
        <v>211</v>
      </c>
      <c r="CD2" s="195" t="s">
        <v>159</v>
      </c>
      <c r="CE2" s="195" t="s">
        <v>251</v>
      </c>
      <c r="CF2" s="195" t="s">
        <v>253</v>
      </c>
      <c r="CG2" s="195" t="s">
        <v>284</v>
      </c>
      <c r="CH2" s="195" t="s">
        <v>257</v>
      </c>
      <c r="CI2" s="195" t="s">
        <v>257</v>
      </c>
      <c r="CJ2" s="195" t="s">
        <v>9</v>
      </c>
      <c r="CK2" s="398" t="s">
        <v>260</v>
      </c>
      <c r="CL2" s="397" t="s">
        <v>5</v>
      </c>
      <c r="CM2" s="195" t="s">
        <v>230</v>
      </c>
      <c r="CN2" s="195" t="s">
        <v>231</v>
      </c>
      <c r="CO2" s="195" t="s">
        <v>7</v>
      </c>
      <c r="CP2" s="195" t="s">
        <v>8</v>
      </c>
      <c r="CQ2" s="195" t="s">
        <v>239</v>
      </c>
      <c r="CR2" s="195" t="s">
        <v>241</v>
      </c>
      <c r="CS2" s="195" t="s">
        <v>212</v>
      </c>
      <c r="CT2" s="195" t="s">
        <v>210</v>
      </c>
      <c r="CU2" s="195" t="s">
        <v>11</v>
      </c>
      <c r="CV2" s="195" t="s">
        <v>183</v>
      </c>
      <c r="CW2" s="195" t="s">
        <v>187</v>
      </c>
      <c r="CX2" s="195" t="s">
        <v>211</v>
      </c>
      <c r="CY2" s="195" t="s">
        <v>159</v>
      </c>
      <c r="CZ2" s="195" t="s">
        <v>251</v>
      </c>
      <c r="DA2" s="195" t="s">
        <v>253</v>
      </c>
      <c r="DB2" s="195" t="s">
        <v>284</v>
      </c>
      <c r="DC2" s="195" t="s">
        <v>257</v>
      </c>
      <c r="DD2" s="195" t="s">
        <v>257</v>
      </c>
      <c r="DE2" s="195" t="s">
        <v>9</v>
      </c>
      <c r="DF2" s="398" t="s">
        <v>260</v>
      </c>
      <c r="DG2" s="397" t="s">
        <v>290</v>
      </c>
      <c r="DH2" s="195" t="s">
        <v>291</v>
      </c>
      <c r="DI2" s="195" t="s">
        <v>292</v>
      </c>
      <c r="DJ2" s="195" t="s">
        <v>293</v>
      </c>
      <c r="DK2" s="195" t="s">
        <v>294</v>
      </c>
      <c r="DL2" s="195" t="s">
        <v>295</v>
      </c>
      <c r="DM2" s="195" t="s">
        <v>296</v>
      </c>
      <c r="DN2" s="195" t="s">
        <v>297</v>
      </c>
      <c r="DO2" s="195" t="s">
        <v>298</v>
      </c>
      <c r="DP2" s="195" t="s">
        <v>299</v>
      </c>
      <c r="DQ2" s="195" t="s">
        <v>300</v>
      </c>
      <c r="DR2" s="195" t="s">
        <v>301</v>
      </c>
      <c r="DS2" s="195" t="s">
        <v>302</v>
      </c>
      <c r="DT2" s="195" t="s">
        <v>303</v>
      </c>
      <c r="DU2" s="195" t="s">
        <v>304</v>
      </c>
      <c r="DV2" s="195" t="s">
        <v>305</v>
      </c>
      <c r="DW2" s="195" t="s">
        <v>306</v>
      </c>
      <c r="DX2" s="195" t="s">
        <v>307</v>
      </c>
      <c r="DY2" s="195" t="s">
        <v>308</v>
      </c>
      <c r="DZ2" s="195" t="s">
        <v>309</v>
      </c>
      <c r="EA2" s="398" t="s">
        <v>310</v>
      </c>
    </row>
    <row r="3" spans="1:131" x14ac:dyDescent="0.2">
      <c r="A3" s="126"/>
      <c r="B3" s="157">
        <v>1</v>
      </c>
      <c r="C3" s="158" t="s">
        <v>31</v>
      </c>
      <c r="D3" s="159" t="s">
        <v>191</v>
      </c>
      <c r="E3" s="409">
        <f>IF(ISNA(VLOOKUP($C3,Batting!$B$5:$M$103,3,FALSE)),0,(VLOOKUP($C3,Batting!$B$5:$M$103,3,FALSE)))</f>
        <v>14</v>
      </c>
      <c r="F3" s="400">
        <f>VLOOKUP($C3,Batting!$B$44:$BZ$75,17,0)</f>
        <v>0</v>
      </c>
      <c r="G3" s="401">
        <f>VLOOKUP($C3,Batting!$B$44:$BZ$75,20,0)</f>
        <v>0</v>
      </c>
      <c r="H3" s="401">
        <f>VLOOKUP($C3,Batting!$B$44:$BZ$75,23,0)</f>
        <v>2</v>
      </c>
      <c r="I3" s="401">
        <f>VLOOKUP($C3,Batting!$B$44:$BZ$75,26,0)</f>
        <v>33</v>
      </c>
      <c r="J3" s="401">
        <f>VLOOKUP($C3,Batting!$B$44:$BZ$75,29,0)</f>
        <v>104</v>
      </c>
      <c r="K3" s="401">
        <f>VLOOKUP($C3,Batting!$B$44:$BZ$75,32,0)</f>
        <v>0</v>
      </c>
      <c r="L3" s="401">
        <f>VLOOKUP($C3,Batting!$B$44:$BZ$75,35,0)</f>
        <v>-7</v>
      </c>
      <c r="M3" s="401">
        <f>VLOOKUP($C3,Batting!$B$44:$BZ$75,38,0)</f>
        <v>19</v>
      </c>
      <c r="N3" s="401">
        <f>VLOOKUP($C3,Batting!$B$44:$BZ$75,41,0)</f>
        <v>89</v>
      </c>
      <c r="O3" s="401">
        <f>VLOOKUP($C3,Batting!$B$44:$BZ$75,44,0)</f>
        <v>125</v>
      </c>
      <c r="P3" s="401">
        <f>VLOOKUP($C3,Batting!$B$44:$BZ$75,47,0)</f>
        <v>-2</v>
      </c>
      <c r="Q3" s="401">
        <f>VLOOKUP($C3,Batting!$B$44:$BZ$75,50,0)</f>
        <v>75</v>
      </c>
      <c r="R3" s="401">
        <f>VLOOKUP($C3,Batting!$B$44:$BZ$75,53,0)</f>
        <v>0</v>
      </c>
      <c r="S3" s="401">
        <f>VLOOKUP($C3,Batting!$B$44:$BZ$75,56,0)</f>
        <v>68</v>
      </c>
      <c r="T3" s="401">
        <f>VLOOKUP($C3,Batting!$B$44:$BZ$75,59,0)</f>
        <v>0</v>
      </c>
      <c r="U3" s="401">
        <f>VLOOKUP($C3,Batting!$B$44:$BZ$75,62,0)</f>
        <v>52</v>
      </c>
      <c r="V3" s="401">
        <f>VLOOKUP($C3,Batting!$B$44:$BZ$75,65,0)</f>
        <v>-7</v>
      </c>
      <c r="W3" s="401">
        <f>VLOOKUP($C3,Batting!$B$44:$BZ$75,68,0)</f>
        <v>69</v>
      </c>
      <c r="X3" s="401">
        <f>VLOOKUP($C3,Batting!$B$44:$BZ$75,71,0)</f>
        <v>1</v>
      </c>
      <c r="Y3" s="401">
        <f>VLOOKUP($C3,Batting!$B$44:$BZ$75,74,0)</f>
        <v>0</v>
      </c>
      <c r="Z3" s="402">
        <f>VLOOKUP($C3,Batting!$B$44:$BZ$75,77,0)</f>
        <v>0</v>
      </c>
      <c r="AA3" s="400">
        <f>_xlfn.IFNA(VLOOKUP($C3,Bowling!$B$39:$DX$66,24,0),0)</f>
        <v>0</v>
      </c>
      <c r="AB3" s="401">
        <f>_xlfn.IFNA(VLOOKUP($C3,Bowling!$B$39:$DX$66,29,0),0)</f>
        <v>0</v>
      </c>
      <c r="AC3" s="401">
        <f>_xlfn.IFNA(VLOOKUP($C3,Bowling!$B$39:$DX$66,34,0),0)</f>
        <v>0</v>
      </c>
      <c r="AD3" s="401">
        <f>_xlfn.IFNA(VLOOKUP($C3,Bowling!$B$39:$DX$66,39,0),0)</f>
        <v>0</v>
      </c>
      <c r="AE3" s="401">
        <f>_xlfn.IFNA(VLOOKUP($C3,Bowling!$B$39:$DX$66,44,0),0)</f>
        <v>0</v>
      </c>
      <c r="AF3" s="401">
        <f>_xlfn.IFNA(VLOOKUP($C3,Bowling!$B$39:$DX$66,49,0),0)</f>
        <v>0</v>
      </c>
      <c r="AG3" s="401">
        <f>_xlfn.IFNA(VLOOKUP($C3,Bowling!$B$39:$DX$66,54,0),0)</f>
        <v>0</v>
      </c>
      <c r="AH3" s="401">
        <f>_xlfn.IFNA(VLOOKUP($C3,Bowling!$B$39:$DX$66,59,0),0)</f>
        <v>0</v>
      </c>
      <c r="AI3" s="401">
        <f>_xlfn.IFNA(VLOOKUP($C3,Bowling!$B$39:$DX$66,64,0),0)</f>
        <v>0</v>
      </c>
      <c r="AJ3" s="401">
        <f>_xlfn.IFNA(VLOOKUP($C3,Bowling!$B$39:$DX$66,69,0),0)</f>
        <v>0</v>
      </c>
      <c r="AK3" s="401">
        <f>_xlfn.IFNA(VLOOKUP($C3,Bowling!$B$39:$DX$66,74,0),0)</f>
        <v>16.8</v>
      </c>
      <c r="AL3" s="401">
        <f>_xlfn.IFNA(VLOOKUP($C3,Bowling!$B$39:$DX$66,79,0),0)</f>
        <v>0</v>
      </c>
      <c r="AM3" s="401">
        <f>_xlfn.IFNA(VLOOKUP($C3,Bowling!$B$39:$DX$66,84,0),0)</f>
        <v>0</v>
      </c>
      <c r="AN3" s="401">
        <f>_xlfn.IFNA(VLOOKUP($C3,Bowling!$B$39:$DX$66,89,0),0)</f>
        <v>0</v>
      </c>
      <c r="AO3" s="401">
        <f>_xlfn.IFNA(VLOOKUP($C3,Bowling!$B$39:$DX$66,94,0),0)</f>
        <v>0</v>
      </c>
      <c r="AP3" s="401">
        <f>_xlfn.IFNA(VLOOKUP($C3,Bowling!$B$39:$DX$66,99,0),0)</f>
        <v>0</v>
      </c>
      <c r="AQ3" s="401">
        <f>_xlfn.IFNA(VLOOKUP($C3,Bowling!$B$39:$DX$66,104,0),0)</f>
        <v>0</v>
      </c>
      <c r="AR3" s="401">
        <f>_xlfn.IFNA(VLOOKUP($C3,Bowling!$B$39:$DX$66,109,0),0)</f>
        <v>0</v>
      </c>
      <c r="AS3" s="401">
        <f>_xlfn.IFNA(VLOOKUP($C3,Bowling!$B$39:$DX$66,114,0),0)</f>
        <v>0</v>
      </c>
      <c r="AT3" s="401">
        <f>_xlfn.IFNA(VLOOKUP($C3,Bowling!$B$39:$DX$66,119,0),0)</f>
        <v>0</v>
      </c>
      <c r="AU3" s="402">
        <f>_xlfn.IFNA(VLOOKUP($C3,Bowling!$B$39:$DX$66,124,0),0)</f>
        <v>0</v>
      </c>
      <c r="AV3" s="400">
        <f>_xlfn.IFNA(VLOOKUP($C3,Fielding!$B$23:$CN$36,8,0),0)</f>
        <v>0</v>
      </c>
      <c r="AW3" s="401">
        <f>_xlfn.IFNA(VLOOKUP($C3,Fielding!$B$23:$CN$36,12,0),0)</f>
        <v>0</v>
      </c>
      <c r="AX3" s="401">
        <f>_xlfn.IFNA(VLOOKUP($C3,Fielding!$B$23:$CN$36,16,0),0)</f>
        <v>0</v>
      </c>
      <c r="AY3" s="401">
        <f>_xlfn.IFNA(VLOOKUP($C3,Fielding!$B$23:$CN$36,20,0),0)</f>
        <v>0</v>
      </c>
      <c r="AZ3" s="401">
        <f>_xlfn.IFNA(VLOOKUP($C3,Fielding!$B$23:$CN$36,24,0),0)</f>
        <v>0</v>
      </c>
      <c r="BA3" s="401">
        <f>_xlfn.IFNA(VLOOKUP($C3,Fielding!$B$23:$CN$36,28,0),0)</f>
        <v>0</v>
      </c>
      <c r="BB3" s="401">
        <f>_xlfn.IFNA(VLOOKUP($C3,Fielding!$B$23:$CN$36,32,0),0)</f>
        <v>0</v>
      </c>
      <c r="BC3" s="401">
        <f>_xlfn.IFNA(VLOOKUP($C3,Fielding!$B$23:$CN$36,36,0),0)</f>
        <v>0</v>
      </c>
      <c r="BD3" s="401">
        <f>_xlfn.IFNA(VLOOKUP($C3,Fielding!$B$23:$CN$36,40,0),0)</f>
        <v>0</v>
      </c>
      <c r="BE3" s="401">
        <f>_xlfn.IFNA(VLOOKUP($C3,Fielding!$B$23:$CN$36,44,0),0)</f>
        <v>0</v>
      </c>
      <c r="BF3" s="401">
        <f>_xlfn.IFNA(VLOOKUP($C3,Fielding!$B$23:$CN$36,48,0),0)</f>
        <v>0</v>
      </c>
      <c r="BG3" s="401">
        <f>_xlfn.IFNA(VLOOKUP($C3,Fielding!$B$23:$CN$36,52,0),0)</f>
        <v>0</v>
      </c>
      <c r="BH3" s="401">
        <f>_xlfn.IFNA(VLOOKUP($C3,Fielding!$B$23:$CN$36,56,0),0)</f>
        <v>0</v>
      </c>
      <c r="BI3" s="401">
        <f>_xlfn.IFNA(VLOOKUP($C3,Fielding!$B$23:$CN$36,60,0),0)</f>
        <v>0</v>
      </c>
      <c r="BJ3" s="401">
        <f>_xlfn.IFNA(VLOOKUP($C3,Fielding!$B$23:$CN$36,64,0),0)</f>
        <v>0</v>
      </c>
      <c r="BK3" s="401">
        <f>_xlfn.IFNA(VLOOKUP($C3,Fielding!$B$23:$CN$36,68,0),0)</f>
        <v>0</v>
      </c>
      <c r="BL3" s="401">
        <f>_xlfn.IFNA(VLOOKUP($C3,Fielding!$B$23:$CN$36,72,0),0)</f>
        <v>0</v>
      </c>
      <c r="BM3" s="401">
        <f>_xlfn.IFNA(VLOOKUP($C3,Fielding!$B$23:$CN$36,76,0),0)</f>
        <v>8</v>
      </c>
      <c r="BN3" s="401">
        <f>_xlfn.IFNA(VLOOKUP($C3,Fielding!$B$23:$CN$36,80,0),0)</f>
        <v>0</v>
      </c>
      <c r="BO3" s="401">
        <f>_xlfn.IFNA(VLOOKUP($C3,Fielding!$B$23:$CN$36,84,0),0)</f>
        <v>0</v>
      </c>
      <c r="BP3" s="402">
        <f>_xlfn.IFNA(VLOOKUP($C3,Fielding!$B$23:$CN$36,88,0),0)</f>
        <v>0</v>
      </c>
      <c r="BQ3" s="400">
        <f t="shared" ref="BQ3:BQ34" si="0">+AV3+AA3+F3</f>
        <v>0</v>
      </c>
      <c r="BR3" s="401">
        <f t="shared" ref="BR3:BR34" si="1">+AW3+AB3+G3</f>
        <v>0</v>
      </c>
      <c r="BS3" s="401">
        <f t="shared" ref="BS3:BS34" si="2">+AX3+AC3+H3</f>
        <v>2</v>
      </c>
      <c r="BT3" s="401">
        <f t="shared" ref="BT3:BT34" si="3">+AY3+AD3+I3</f>
        <v>33</v>
      </c>
      <c r="BU3" s="401">
        <f t="shared" ref="BU3:BU34" si="4">+AZ3+AE3+J3</f>
        <v>104</v>
      </c>
      <c r="BV3" s="401">
        <f t="shared" ref="BV3:BV34" si="5">+BA3+AF3+K3</f>
        <v>0</v>
      </c>
      <c r="BW3" s="401">
        <f t="shared" ref="BW3:BW34" si="6">+BB3+AG3+L3</f>
        <v>-7</v>
      </c>
      <c r="BX3" s="401">
        <f t="shared" ref="BX3:BX34" si="7">+BC3+AH3+M3</f>
        <v>19</v>
      </c>
      <c r="BY3" s="401">
        <f t="shared" ref="BY3:BY34" si="8">+BD3+AI3+N3</f>
        <v>89</v>
      </c>
      <c r="BZ3" s="401">
        <f t="shared" ref="BZ3:BZ34" si="9">+BE3+AJ3+O3</f>
        <v>125</v>
      </c>
      <c r="CA3" s="401">
        <f t="shared" ref="CA3:CA34" si="10">+BF3+AK3+P3</f>
        <v>14.8</v>
      </c>
      <c r="CB3" s="401">
        <f t="shared" ref="CB3:CB34" si="11">+BG3+AL3+Q3</f>
        <v>75</v>
      </c>
      <c r="CC3" s="401">
        <f t="shared" ref="CC3:CC34" si="12">+BH3+AM3+R3</f>
        <v>0</v>
      </c>
      <c r="CD3" s="401">
        <f t="shared" ref="CD3:CD34" si="13">+BI3+AN3+S3</f>
        <v>68</v>
      </c>
      <c r="CE3" s="401">
        <f t="shared" ref="CE3:CE34" si="14">+BJ3+AO3+T3</f>
        <v>0</v>
      </c>
      <c r="CF3" s="401">
        <f t="shared" ref="CF3:CF34" si="15">+BK3+AP3+U3</f>
        <v>52</v>
      </c>
      <c r="CG3" s="401">
        <f t="shared" ref="CG3:CG34" si="16">+BL3+AQ3+V3</f>
        <v>-7</v>
      </c>
      <c r="CH3" s="401">
        <f t="shared" ref="CH3:CH34" si="17">+BM3+AR3+W3</f>
        <v>77</v>
      </c>
      <c r="CI3" s="401">
        <f t="shared" ref="CI3:CI34" si="18">+BN3+AS3+X3</f>
        <v>1</v>
      </c>
      <c r="CJ3" s="401">
        <f t="shared" ref="CJ3:CJ34" si="19">+BO3+AT3+Y3</f>
        <v>0</v>
      </c>
      <c r="CK3" s="402">
        <f t="shared" ref="CK3:CK34" si="20">+BP3+AU3+Z3</f>
        <v>0</v>
      </c>
      <c r="CL3" s="400">
        <f>+BQ3</f>
        <v>0</v>
      </c>
      <c r="CM3" s="401">
        <f t="shared" ref="CM3:DF3" si="21">+CL3+BR3</f>
        <v>0</v>
      </c>
      <c r="CN3" s="401">
        <f t="shared" si="21"/>
        <v>2</v>
      </c>
      <c r="CO3" s="401">
        <f t="shared" si="21"/>
        <v>35</v>
      </c>
      <c r="CP3" s="401">
        <f t="shared" si="21"/>
        <v>139</v>
      </c>
      <c r="CQ3" s="401">
        <f t="shared" si="21"/>
        <v>139</v>
      </c>
      <c r="CR3" s="401">
        <f t="shared" si="21"/>
        <v>132</v>
      </c>
      <c r="CS3" s="401">
        <f t="shared" si="21"/>
        <v>151</v>
      </c>
      <c r="CT3" s="401">
        <f t="shared" si="21"/>
        <v>240</v>
      </c>
      <c r="CU3" s="401">
        <f t="shared" si="21"/>
        <v>365</v>
      </c>
      <c r="CV3" s="401">
        <f t="shared" si="21"/>
        <v>379.8</v>
      </c>
      <c r="CW3" s="401">
        <f t="shared" si="21"/>
        <v>454.8</v>
      </c>
      <c r="CX3" s="401">
        <f t="shared" si="21"/>
        <v>454.8</v>
      </c>
      <c r="CY3" s="401">
        <f t="shared" si="21"/>
        <v>522.79999999999995</v>
      </c>
      <c r="CZ3" s="401">
        <f t="shared" si="21"/>
        <v>522.79999999999995</v>
      </c>
      <c r="DA3" s="401">
        <f t="shared" si="21"/>
        <v>574.79999999999995</v>
      </c>
      <c r="DB3" s="401">
        <f t="shared" si="21"/>
        <v>567.79999999999995</v>
      </c>
      <c r="DC3" s="401">
        <f t="shared" si="21"/>
        <v>644.79999999999995</v>
      </c>
      <c r="DD3" s="401">
        <f t="shared" si="21"/>
        <v>645.79999999999995</v>
      </c>
      <c r="DE3" s="401">
        <f t="shared" si="21"/>
        <v>645.79999999999995</v>
      </c>
      <c r="DF3" s="402">
        <f t="shared" si="21"/>
        <v>645.79999999999995</v>
      </c>
      <c r="DG3" s="411" t="str">
        <f t="shared" ref="DG3:DG34" si="22">IF(CL3&lt;&gt;0,RANK(CL3,CL$3:CL$34),"-")</f>
        <v>-</v>
      </c>
      <c r="DH3" s="412" t="str">
        <f t="shared" ref="DH3:DH34" si="23">IF(CM3&lt;&gt;0,RANK(CM3,CM$3:CM$34),"-")</f>
        <v>-</v>
      </c>
      <c r="DI3" s="412">
        <f t="shared" ref="DI3:DI34" si="24">IF(CN3&lt;&gt;0,RANK(CN3,CN$3:CN$34),"-")</f>
        <v>9</v>
      </c>
      <c r="DJ3" s="412">
        <f t="shared" ref="DJ3:DJ34" si="25">IF(CO3&lt;&gt;0,RANK(CO3,CO$3:CO$34),"-")</f>
        <v>7</v>
      </c>
      <c r="DK3" s="412">
        <f t="shared" ref="DK3:DK34" si="26">IF(CP3&lt;&gt;0,RANK(CP3,CP$3:CP$34),"-")</f>
        <v>2</v>
      </c>
      <c r="DL3" s="412">
        <f t="shared" ref="DL3:DL34" si="27">IF(CQ3&lt;&gt;0,RANK(CQ3,CQ$3:CQ$34),"-")</f>
        <v>2</v>
      </c>
      <c r="DM3" s="412">
        <f t="shared" ref="DM3:DM34" si="28">IF(CR3&lt;&gt;0,RANK(CR3,CR$3:CR$34),"-")</f>
        <v>2</v>
      </c>
      <c r="DN3" s="412">
        <f t="shared" ref="DN3:DN34" si="29">IF(CS3&lt;&gt;0,RANK(CS3,CS$3:CS$34),"-")</f>
        <v>2</v>
      </c>
      <c r="DO3" s="412">
        <f t="shared" ref="DO3:DO34" si="30">IF(CT3&lt;&gt;0,RANK(CT3,CT$3:CT$34),"-")</f>
        <v>2</v>
      </c>
      <c r="DP3" s="412">
        <f t="shared" ref="DP3:DP34" si="31">IF(CU3&lt;&gt;0,RANK(CU3,CU$3:CU$34),"-")</f>
        <v>1</v>
      </c>
      <c r="DQ3" s="412">
        <f t="shared" ref="DQ3:DQ34" si="32">IF(CV3&lt;&gt;0,RANK(CV3,CV$3:CV$34),"-")</f>
        <v>1</v>
      </c>
      <c r="DR3" s="412">
        <f t="shared" ref="DR3:DR34" si="33">IF(CW3&lt;&gt;0,RANK(CW3,CW$3:CW$34),"-")</f>
        <v>1</v>
      </c>
      <c r="DS3" s="412">
        <f t="shared" ref="DS3:DS34" si="34">IF(CX3&lt;&gt;0,RANK(CX3,CX$3:CX$34),"-")</f>
        <v>1</v>
      </c>
      <c r="DT3" s="412">
        <f t="shared" ref="DT3:DT34" si="35">IF(CY3&lt;&gt;0,RANK(CY3,CY$3:CY$34),"-")</f>
        <v>1</v>
      </c>
      <c r="DU3" s="412">
        <f t="shared" ref="DU3:DU34" si="36">IF(CZ3&lt;&gt;0,RANK(CZ3,CZ$3:CZ$34),"-")</f>
        <v>1</v>
      </c>
      <c r="DV3" s="412">
        <f t="shared" ref="DV3:DV34" si="37">IF(DA3&lt;&gt;0,RANK(DA3,DA$3:DA$34),"-")</f>
        <v>1</v>
      </c>
      <c r="DW3" s="412">
        <f t="shared" ref="DW3:DW34" si="38">IF(DB3&lt;&gt;0,RANK(DB3,DB$3:DB$34),"-")</f>
        <v>1</v>
      </c>
      <c r="DX3" s="412">
        <f t="shared" ref="DX3:DX34" si="39">IF(DC3&lt;&gt;0,RANK(DC3,DC$3:DC$34),"-")</f>
        <v>1</v>
      </c>
      <c r="DY3" s="412">
        <f t="shared" ref="DY3:DY34" si="40">IF(DD3&lt;&gt;0,RANK(DD3,DD$3:DD$34),"-")</f>
        <v>1</v>
      </c>
      <c r="DZ3" s="412">
        <f t="shared" ref="DZ3:DZ34" si="41">IF(DE3&lt;&gt;0,RANK(DE3,DE$3:DE$34),"-")</f>
        <v>1</v>
      </c>
      <c r="EA3" s="413">
        <f t="shared" ref="EA3:EA34" si="42">IF(DF3&lt;&gt;0,RANK(DF3,DF$3:DF$34),"-")</f>
        <v>1</v>
      </c>
    </row>
    <row r="4" spans="1:131" x14ac:dyDescent="0.2">
      <c r="A4" s="119"/>
      <c r="B4" s="157">
        <f t="shared" ref="B4:B34" si="43">B3+1</f>
        <v>2</v>
      </c>
      <c r="C4" s="158" t="s">
        <v>167</v>
      </c>
      <c r="D4" s="159" t="s">
        <v>189</v>
      </c>
      <c r="E4" s="409">
        <f>IF(ISNA(VLOOKUP($C4,Batting!$B$5:$M$103,3,FALSE)),0,(VLOOKUP($C4,Batting!$B$5:$M$103,3,FALSE)))</f>
        <v>11</v>
      </c>
      <c r="F4" s="403">
        <f>VLOOKUP($C4,Batting!$B$44:$BZ$75,17,0)</f>
        <v>0</v>
      </c>
      <c r="G4" s="404">
        <f>VLOOKUP($C4,Batting!$B$44:$BZ$75,20,0)</f>
        <v>0</v>
      </c>
      <c r="H4" s="404">
        <f>VLOOKUP($C4,Batting!$B$44:$BZ$75,23,0)</f>
        <v>59</v>
      </c>
      <c r="I4" s="404">
        <f>VLOOKUP($C4,Batting!$B$44:$BZ$75,26,0)</f>
        <v>35</v>
      </c>
      <c r="J4" s="404">
        <f>VLOOKUP($C4,Batting!$B$44:$BZ$75,29,0)</f>
        <v>43</v>
      </c>
      <c r="K4" s="404">
        <f>VLOOKUP($C4,Batting!$B$44:$BZ$75,32,0)</f>
        <v>0</v>
      </c>
      <c r="L4" s="404">
        <f>VLOOKUP($C4,Batting!$B$44:$BZ$75,35,0)</f>
        <v>19</v>
      </c>
      <c r="M4" s="404">
        <f>VLOOKUP($C4,Batting!$B$44:$BZ$75,38,0)</f>
        <v>0</v>
      </c>
      <c r="N4" s="404">
        <f>VLOOKUP($C4,Batting!$B$44:$BZ$75,41,0)</f>
        <v>0</v>
      </c>
      <c r="O4" s="404">
        <f>VLOOKUP($C4,Batting!$B$44:$BZ$75,44,0)</f>
        <v>0</v>
      </c>
      <c r="P4" s="404">
        <f>VLOOKUP($C4,Batting!$B$44:$BZ$75,47,0)</f>
        <v>12</v>
      </c>
      <c r="Q4" s="404">
        <f>VLOOKUP($C4,Batting!$B$44:$BZ$75,50,0)</f>
        <v>2</v>
      </c>
      <c r="R4" s="404">
        <f>VLOOKUP($C4,Batting!$B$44:$BZ$75,53,0)</f>
        <v>0</v>
      </c>
      <c r="S4" s="404">
        <f>VLOOKUP($C4,Batting!$B$44:$BZ$75,56,0)</f>
        <v>0</v>
      </c>
      <c r="T4" s="404">
        <f>VLOOKUP($C4,Batting!$B$44:$BZ$75,59,0)</f>
        <v>0</v>
      </c>
      <c r="U4" s="404">
        <f>VLOOKUP($C4,Batting!$B$44:$BZ$75,62,0)</f>
        <v>78</v>
      </c>
      <c r="V4" s="404">
        <f>VLOOKUP($C4,Batting!$B$44:$BZ$75,65,0)</f>
        <v>30</v>
      </c>
      <c r="W4" s="404">
        <f>VLOOKUP($C4,Batting!$B$44:$BZ$75,68,0)</f>
        <v>65</v>
      </c>
      <c r="X4" s="404">
        <f>VLOOKUP($C4,Batting!$B$44:$BZ$75,71,0)</f>
        <v>19</v>
      </c>
      <c r="Y4" s="404">
        <f>VLOOKUP($C4,Batting!$B$44:$BZ$75,74,0)</f>
        <v>0</v>
      </c>
      <c r="Z4" s="405">
        <f>VLOOKUP($C4,Batting!$B$44:$BZ$75,77,0)</f>
        <v>0</v>
      </c>
      <c r="AA4" s="403">
        <f>_xlfn.IFNA(VLOOKUP($C4,Bowling!$B$39:$DX$66,24,0),0)</f>
        <v>0</v>
      </c>
      <c r="AB4" s="404">
        <f>_xlfn.IFNA(VLOOKUP($C4,Bowling!$B$39:$DX$66,29,0),0)</f>
        <v>0</v>
      </c>
      <c r="AC4" s="404">
        <f>_xlfn.IFNA(VLOOKUP($C4,Bowling!$B$39:$DX$66,34,0),0)</f>
        <v>15.4</v>
      </c>
      <c r="AD4" s="404">
        <f>_xlfn.IFNA(VLOOKUP($C4,Bowling!$B$39:$DX$66,39,0),0)</f>
        <v>13.4</v>
      </c>
      <c r="AE4" s="404">
        <f>_xlfn.IFNA(VLOOKUP($C4,Bowling!$B$39:$DX$66,44,0),0)</f>
        <v>8</v>
      </c>
      <c r="AF4" s="404">
        <f>_xlfn.IFNA(VLOOKUP($C4,Bowling!$B$39:$DX$66,49,0),0)</f>
        <v>0</v>
      </c>
      <c r="AG4" s="404">
        <f>_xlfn.IFNA(VLOOKUP($C4,Bowling!$B$39:$DX$66,54,0),0)</f>
        <v>74.599999999999994</v>
      </c>
      <c r="AH4" s="404">
        <f>_xlfn.IFNA(VLOOKUP($C4,Bowling!$B$39:$DX$66,59,0),0)</f>
        <v>0</v>
      </c>
      <c r="AI4" s="404">
        <f>_xlfn.IFNA(VLOOKUP($C4,Bowling!$B$39:$DX$66,64,0),0)</f>
        <v>0</v>
      </c>
      <c r="AJ4" s="404">
        <f>_xlfn.IFNA(VLOOKUP($C4,Bowling!$B$39:$DX$66,69,0),0)</f>
        <v>0</v>
      </c>
      <c r="AK4" s="404">
        <f>_xlfn.IFNA(VLOOKUP($C4,Bowling!$B$39:$DX$66,74,0),0)</f>
        <v>-7.2</v>
      </c>
      <c r="AL4" s="404">
        <f>_xlfn.IFNA(VLOOKUP($C4,Bowling!$B$39:$DX$66,79,0),0)</f>
        <v>14</v>
      </c>
      <c r="AM4" s="404">
        <f>_xlfn.IFNA(VLOOKUP($C4,Bowling!$B$39:$DX$66,84,0),0)</f>
        <v>0</v>
      </c>
      <c r="AN4" s="404">
        <f>_xlfn.IFNA(VLOOKUP($C4,Bowling!$B$39:$DX$66,89,0),0)</f>
        <v>13.2</v>
      </c>
      <c r="AO4" s="404">
        <f>_xlfn.IFNA(VLOOKUP($C4,Bowling!$B$39:$DX$66,94,0),0)</f>
        <v>0</v>
      </c>
      <c r="AP4" s="404">
        <f>_xlfn.IFNA(VLOOKUP($C4,Bowling!$B$39:$DX$66,99,0),0)</f>
        <v>13</v>
      </c>
      <c r="AQ4" s="404">
        <f>_xlfn.IFNA(VLOOKUP($C4,Bowling!$B$39:$DX$66,104,0),0)</f>
        <v>13.2</v>
      </c>
      <c r="AR4" s="404">
        <f>_xlfn.IFNA(VLOOKUP($C4,Bowling!$B$39:$DX$66,109,0),0)</f>
        <v>52.6</v>
      </c>
      <c r="AS4" s="404">
        <f>_xlfn.IFNA(VLOOKUP($C4,Bowling!$B$39:$DX$66,114,0),0)</f>
        <v>-5</v>
      </c>
      <c r="AT4" s="404">
        <f>_xlfn.IFNA(VLOOKUP($C4,Bowling!$B$39:$DX$66,119,0),0)</f>
        <v>0</v>
      </c>
      <c r="AU4" s="405">
        <f>_xlfn.IFNA(VLOOKUP($C4,Bowling!$B$39:$DX$66,124,0),0)</f>
        <v>0</v>
      </c>
      <c r="AV4" s="403">
        <f>_xlfn.IFNA(VLOOKUP($C4,Fielding!$B$23:$CN$36,8,0),0)</f>
        <v>0</v>
      </c>
      <c r="AW4" s="404">
        <f>_xlfn.IFNA(VLOOKUP($C4,Fielding!$B$23:$CN$36,12,0),0)</f>
        <v>0</v>
      </c>
      <c r="AX4" s="404">
        <f>_xlfn.IFNA(VLOOKUP($C4,Fielding!$B$23:$CN$36,16,0),0)</f>
        <v>8</v>
      </c>
      <c r="AY4" s="404">
        <f>_xlfn.IFNA(VLOOKUP($C4,Fielding!$B$23:$CN$36,20,0),0)</f>
        <v>0</v>
      </c>
      <c r="AZ4" s="404">
        <f>_xlfn.IFNA(VLOOKUP($C4,Fielding!$B$23:$CN$36,24,0),0)</f>
        <v>0</v>
      </c>
      <c r="BA4" s="404">
        <f>_xlfn.IFNA(VLOOKUP($C4,Fielding!$B$23:$CN$36,28,0),0)</f>
        <v>0</v>
      </c>
      <c r="BB4" s="404">
        <f>_xlfn.IFNA(VLOOKUP($C4,Fielding!$B$23:$CN$36,32,0),0)</f>
        <v>0</v>
      </c>
      <c r="BC4" s="404">
        <f>_xlfn.IFNA(VLOOKUP($C4,Fielding!$B$23:$CN$36,36,0),0)</f>
        <v>0</v>
      </c>
      <c r="BD4" s="404">
        <f>_xlfn.IFNA(VLOOKUP($C4,Fielding!$B$23:$CN$36,40,0),0)</f>
        <v>0</v>
      </c>
      <c r="BE4" s="404">
        <f>_xlfn.IFNA(VLOOKUP($C4,Fielding!$B$23:$CN$36,44,0),0)</f>
        <v>0</v>
      </c>
      <c r="BF4" s="404">
        <f>_xlfn.IFNA(VLOOKUP($C4,Fielding!$B$23:$CN$36,48,0),0)</f>
        <v>0</v>
      </c>
      <c r="BG4" s="404">
        <f>_xlfn.IFNA(VLOOKUP($C4,Fielding!$B$23:$CN$36,52,0),0)</f>
        <v>8</v>
      </c>
      <c r="BH4" s="404">
        <f>_xlfn.IFNA(VLOOKUP($C4,Fielding!$B$23:$CN$36,56,0),0)</f>
        <v>0</v>
      </c>
      <c r="BI4" s="404">
        <f>_xlfn.IFNA(VLOOKUP($C4,Fielding!$B$23:$CN$36,60,0),0)</f>
        <v>0</v>
      </c>
      <c r="BJ4" s="404">
        <f>_xlfn.IFNA(VLOOKUP($C4,Fielding!$B$23:$CN$36,64,0),0)</f>
        <v>0</v>
      </c>
      <c r="BK4" s="404">
        <f>_xlfn.IFNA(VLOOKUP($C4,Fielding!$B$23:$CN$36,68,0),0)</f>
        <v>0</v>
      </c>
      <c r="BL4" s="404">
        <f>_xlfn.IFNA(VLOOKUP($C4,Fielding!$B$23:$CN$36,72,0),0)</f>
        <v>16</v>
      </c>
      <c r="BM4" s="404">
        <f>_xlfn.IFNA(VLOOKUP($C4,Fielding!$B$23:$CN$36,76,0),0)</f>
        <v>8</v>
      </c>
      <c r="BN4" s="404">
        <f>_xlfn.IFNA(VLOOKUP($C4,Fielding!$B$23:$CN$36,80,0),0)</f>
        <v>0</v>
      </c>
      <c r="BO4" s="404">
        <f>_xlfn.IFNA(VLOOKUP($C4,Fielding!$B$23:$CN$36,84,0),0)</f>
        <v>0</v>
      </c>
      <c r="BP4" s="405">
        <f>_xlfn.IFNA(VLOOKUP($C4,Fielding!$B$23:$CN$36,88,0),0)</f>
        <v>0</v>
      </c>
      <c r="BQ4" s="403">
        <f t="shared" si="0"/>
        <v>0</v>
      </c>
      <c r="BR4" s="404">
        <f t="shared" si="1"/>
        <v>0</v>
      </c>
      <c r="BS4" s="404">
        <f t="shared" si="2"/>
        <v>82.4</v>
      </c>
      <c r="BT4" s="404">
        <f t="shared" si="3"/>
        <v>48.4</v>
      </c>
      <c r="BU4" s="404">
        <f t="shared" si="4"/>
        <v>51</v>
      </c>
      <c r="BV4" s="404">
        <f t="shared" si="5"/>
        <v>0</v>
      </c>
      <c r="BW4" s="404">
        <f t="shared" si="6"/>
        <v>93.6</v>
      </c>
      <c r="BX4" s="404">
        <f t="shared" si="7"/>
        <v>0</v>
      </c>
      <c r="BY4" s="404">
        <f t="shared" si="8"/>
        <v>0</v>
      </c>
      <c r="BZ4" s="404">
        <f t="shared" si="9"/>
        <v>0</v>
      </c>
      <c r="CA4" s="404">
        <f t="shared" si="10"/>
        <v>4.8</v>
      </c>
      <c r="CB4" s="404">
        <f t="shared" si="11"/>
        <v>24</v>
      </c>
      <c r="CC4" s="404">
        <f t="shared" si="12"/>
        <v>0</v>
      </c>
      <c r="CD4" s="404">
        <f t="shared" si="13"/>
        <v>13.2</v>
      </c>
      <c r="CE4" s="404">
        <f t="shared" si="14"/>
        <v>0</v>
      </c>
      <c r="CF4" s="404">
        <f t="shared" si="15"/>
        <v>91</v>
      </c>
      <c r="CG4" s="404">
        <f t="shared" si="16"/>
        <v>59.2</v>
      </c>
      <c r="CH4" s="404">
        <f t="shared" si="17"/>
        <v>125.6</v>
      </c>
      <c r="CI4" s="404">
        <f t="shared" si="18"/>
        <v>14</v>
      </c>
      <c r="CJ4" s="404">
        <f t="shared" si="19"/>
        <v>0</v>
      </c>
      <c r="CK4" s="405">
        <f t="shared" si="20"/>
        <v>0</v>
      </c>
      <c r="CL4" s="403">
        <f t="shared" ref="CL4:CL34" si="44">+BQ4</f>
        <v>0</v>
      </c>
      <c r="CM4" s="404">
        <f t="shared" ref="CM4:CM34" si="45">+CL4+BR4</f>
        <v>0</v>
      </c>
      <c r="CN4" s="404">
        <f t="shared" ref="CN4:CN34" si="46">+CM4+BS4</f>
        <v>82.4</v>
      </c>
      <c r="CO4" s="404">
        <f t="shared" ref="CO4:CO34" si="47">+CN4+BT4</f>
        <v>130.80000000000001</v>
      </c>
      <c r="CP4" s="404">
        <f t="shared" ref="CP4:CP34" si="48">+CO4+BU4</f>
        <v>181.8</v>
      </c>
      <c r="CQ4" s="404">
        <f t="shared" ref="CQ4:CQ34" si="49">+CP4+BV4</f>
        <v>181.8</v>
      </c>
      <c r="CR4" s="404">
        <f t="shared" ref="CR4:CR34" si="50">+CQ4+BW4</f>
        <v>275.39999999999998</v>
      </c>
      <c r="CS4" s="404">
        <f t="shared" ref="CS4:CS34" si="51">+CR4+BX4</f>
        <v>275.39999999999998</v>
      </c>
      <c r="CT4" s="404">
        <f t="shared" ref="CT4:CT34" si="52">+CS4+BY4</f>
        <v>275.39999999999998</v>
      </c>
      <c r="CU4" s="404">
        <f t="shared" ref="CU4:CU34" si="53">+CT4+BZ4</f>
        <v>275.39999999999998</v>
      </c>
      <c r="CV4" s="404">
        <f t="shared" ref="CV4:CV34" si="54">+CU4+CA4</f>
        <v>280.2</v>
      </c>
      <c r="CW4" s="404">
        <f t="shared" ref="CW4:CW34" si="55">+CV4+CB4</f>
        <v>304.2</v>
      </c>
      <c r="CX4" s="404">
        <f t="shared" ref="CX4:CX34" si="56">+CW4+CC4</f>
        <v>304.2</v>
      </c>
      <c r="CY4" s="404">
        <f t="shared" ref="CY4:CY34" si="57">+CX4+CD4</f>
        <v>317.39999999999998</v>
      </c>
      <c r="CZ4" s="404">
        <f t="shared" ref="CZ4:CZ34" si="58">+CY4+CE4</f>
        <v>317.39999999999998</v>
      </c>
      <c r="DA4" s="404">
        <f t="shared" ref="DA4:DA34" si="59">+CZ4+CF4</f>
        <v>408.4</v>
      </c>
      <c r="DB4" s="404">
        <f t="shared" ref="DB4:DB34" si="60">+DA4+CG4</f>
        <v>467.59999999999997</v>
      </c>
      <c r="DC4" s="404">
        <f t="shared" ref="DC4:DC34" si="61">+DB4+CH4</f>
        <v>593.19999999999993</v>
      </c>
      <c r="DD4" s="404">
        <f t="shared" ref="DD4:DD34" si="62">+DC4+CI4</f>
        <v>607.19999999999993</v>
      </c>
      <c r="DE4" s="404">
        <f t="shared" ref="DE4:DE34" si="63">+DD4+CJ4</f>
        <v>607.19999999999993</v>
      </c>
      <c r="DF4" s="405">
        <f t="shared" ref="DF4:DF34" si="64">+DE4+CK4</f>
        <v>607.19999999999993</v>
      </c>
      <c r="DG4" s="414" t="str">
        <f t="shared" si="22"/>
        <v>-</v>
      </c>
      <c r="DH4" s="415" t="str">
        <f t="shared" si="23"/>
        <v>-</v>
      </c>
      <c r="DI4" s="415">
        <f t="shared" si="24"/>
        <v>1</v>
      </c>
      <c r="DJ4" s="415">
        <f t="shared" si="25"/>
        <v>1</v>
      </c>
      <c r="DK4" s="415">
        <f t="shared" si="26"/>
        <v>1</v>
      </c>
      <c r="DL4" s="415">
        <f t="shared" si="27"/>
        <v>1</v>
      </c>
      <c r="DM4" s="415">
        <f t="shared" si="28"/>
        <v>1</v>
      </c>
      <c r="DN4" s="415">
        <f t="shared" si="29"/>
        <v>1</v>
      </c>
      <c r="DO4" s="415">
        <f t="shared" si="30"/>
        <v>1</v>
      </c>
      <c r="DP4" s="415">
        <f t="shared" si="31"/>
        <v>2</v>
      </c>
      <c r="DQ4" s="415">
        <f t="shared" si="32"/>
        <v>2</v>
      </c>
      <c r="DR4" s="415">
        <f t="shared" si="33"/>
        <v>2</v>
      </c>
      <c r="DS4" s="415">
        <f t="shared" si="34"/>
        <v>2</v>
      </c>
      <c r="DT4" s="415">
        <f t="shared" si="35"/>
        <v>3</v>
      </c>
      <c r="DU4" s="415">
        <f t="shared" si="36"/>
        <v>3</v>
      </c>
      <c r="DV4" s="415">
        <f t="shared" si="37"/>
        <v>2</v>
      </c>
      <c r="DW4" s="415">
        <f t="shared" si="38"/>
        <v>2</v>
      </c>
      <c r="DX4" s="415">
        <f t="shared" si="39"/>
        <v>2</v>
      </c>
      <c r="DY4" s="415">
        <f t="shared" si="40"/>
        <v>2</v>
      </c>
      <c r="DZ4" s="415">
        <f t="shared" si="41"/>
        <v>2</v>
      </c>
      <c r="EA4" s="416">
        <f t="shared" si="42"/>
        <v>2</v>
      </c>
    </row>
    <row r="5" spans="1:131" x14ac:dyDescent="0.2">
      <c r="A5" s="119"/>
      <c r="B5" s="157">
        <f t="shared" si="43"/>
        <v>3</v>
      </c>
      <c r="C5" s="158" t="s">
        <v>185</v>
      </c>
      <c r="D5" s="159" t="s">
        <v>188</v>
      </c>
      <c r="E5" s="409">
        <f>IF(ISNA(VLOOKUP($C5,Batting!$B$5:$M$103,3,FALSE)),0,(VLOOKUP($C5,Batting!$B$5:$M$103,3,FALSE)))</f>
        <v>13</v>
      </c>
      <c r="F5" s="403">
        <f>VLOOKUP($C5,Batting!$B$44:$BZ$75,17,0)</f>
        <v>0</v>
      </c>
      <c r="G5" s="404">
        <f>VLOOKUP($C5,Batting!$B$44:$BZ$75,20,0)</f>
        <v>0</v>
      </c>
      <c r="H5" s="404">
        <f>VLOOKUP($C5,Batting!$B$44:$BZ$75,23,0)</f>
        <v>3</v>
      </c>
      <c r="I5" s="404">
        <f>VLOOKUP($C5,Batting!$B$44:$BZ$75,26,0)</f>
        <v>25</v>
      </c>
      <c r="J5" s="404">
        <f>VLOOKUP($C5,Batting!$B$44:$BZ$75,29,0)</f>
        <v>22</v>
      </c>
      <c r="K5" s="404">
        <f>VLOOKUP($C5,Batting!$B$44:$BZ$75,32,0)</f>
        <v>0</v>
      </c>
      <c r="L5" s="404">
        <f>VLOOKUP($C5,Batting!$B$44:$BZ$75,35,0)</f>
        <v>0</v>
      </c>
      <c r="M5" s="404">
        <f>VLOOKUP($C5,Batting!$B$44:$BZ$75,38,0)</f>
        <v>8</v>
      </c>
      <c r="N5" s="404">
        <f>VLOOKUP($C5,Batting!$B$44:$BZ$75,41,0)</f>
        <v>22</v>
      </c>
      <c r="O5" s="404">
        <f>VLOOKUP($C5,Batting!$B$44:$BZ$75,44,0)</f>
        <v>38</v>
      </c>
      <c r="P5" s="404">
        <f>VLOOKUP($C5,Batting!$B$44:$BZ$75,47,0)</f>
        <v>14</v>
      </c>
      <c r="Q5" s="404">
        <f>VLOOKUP($C5,Batting!$B$44:$BZ$75,50,0)</f>
        <v>-7</v>
      </c>
      <c r="R5" s="404">
        <f>VLOOKUP($C5,Batting!$B$44:$BZ$75,53,0)</f>
        <v>0</v>
      </c>
      <c r="S5" s="404">
        <f>VLOOKUP($C5,Batting!$B$44:$BZ$75,56,0)</f>
        <v>32</v>
      </c>
      <c r="T5" s="404">
        <f>VLOOKUP($C5,Batting!$B$44:$BZ$75,59,0)</f>
        <v>0</v>
      </c>
      <c r="U5" s="404">
        <f>VLOOKUP($C5,Batting!$B$44:$BZ$75,62,0)</f>
        <v>-7</v>
      </c>
      <c r="V5" s="404">
        <f>VLOOKUP($C5,Batting!$B$44:$BZ$75,65,0)</f>
        <v>5</v>
      </c>
      <c r="W5" s="404">
        <f>VLOOKUP($C5,Batting!$B$44:$BZ$75,68,0)</f>
        <v>21</v>
      </c>
      <c r="X5" s="404">
        <f>VLOOKUP($C5,Batting!$B$44:$BZ$75,71,0)</f>
        <v>5</v>
      </c>
      <c r="Y5" s="404">
        <f>VLOOKUP($C5,Batting!$B$44:$BZ$75,74,0)</f>
        <v>0</v>
      </c>
      <c r="Z5" s="405">
        <f>VLOOKUP($C5,Batting!$B$44:$BZ$75,77,0)</f>
        <v>0</v>
      </c>
      <c r="AA5" s="403">
        <f>_xlfn.IFNA(VLOOKUP($C5,Bowling!$B$39:$DX$66,24,0),0)</f>
        <v>0</v>
      </c>
      <c r="AB5" s="404">
        <f>_xlfn.IFNA(VLOOKUP($C5,Bowling!$B$39:$DX$66,29,0),0)</f>
        <v>0</v>
      </c>
      <c r="AC5" s="404">
        <f>_xlfn.IFNA(VLOOKUP($C5,Bowling!$B$39:$DX$66,34,0),0)</f>
        <v>13.4</v>
      </c>
      <c r="AD5" s="404">
        <f>_xlfn.IFNA(VLOOKUP($C5,Bowling!$B$39:$DX$66,39,0),0)</f>
        <v>34.799999999999997</v>
      </c>
      <c r="AE5" s="404">
        <f>_xlfn.IFNA(VLOOKUP($C5,Bowling!$B$39:$DX$66,44,0),0)</f>
        <v>-7.4</v>
      </c>
      <c r="AF5" s="404">
        <f>_xlfn.IFNA(VLOOKUP($C5,Bowling!$B$39:$DX$66,49,0),0)</f>
        <v>0</v>
      </c>
      <c r="AG5" s="404">
        <f>_xlfn.IFNA(VLOOKUP($C5,Bowling!$B$39:$DX$66,54,0),0)</f>
        <v>0</v>
      </c>
      <c r="AH5" s="404">
        <f>_xlfn.IFNA(VLOOKUP($C5,Bowling!$B$39:$DX$66,59,0),0)</f>
        <v>-4.2</v>
      </c>
      <c r="AI5" s="404">
        <f>_xlfn.IFNA(VLOOKUP($C5,Bowling!$B$39:$DX$66,64,0),0)</f>
        <v>16.399999999999999</v>
      </c>
      <c r="AJ5" s="404">
        <f>_xlfn.IFNA(VLOOKUP($C5,Bowling!$B$39:$DX$66,69,0),0)</f>
        <v>30</v>
      </c>
      <c r="AK5" s="404">
        <f>_xlfn.IFNA(VLOOKUP($C5,Bowling!$B$39:$DX$66,74,0),0)</f>
        <v>6.4</v>
      </c>
      <c r="AL5" s="404">
        <f>_xlfn.IFNA(VLOOKUP($C5,Bowling!$B$39:$DX$66,79,0),0)</f>
        <v>15</v>
      </c>
      <c r="AM5" s="404">
        <f>_xlfn.IFNA(VLOOKUP($C5,Bowling!$B$39:$DX$66,84,0),0)</f>
        <v>0</v>
      </c>
      <c r="AN5" s="404">
        <f>_xlfn.IFNA(VLOOKUP($C5,Bowling!$B$39:$DX$66,89,0),0)</f>
        <v>56.8</v>
      </c>
      <c r="AO5" s="404">
        <f>_xlfn.IFNA(VLOOKUP($C5,Bowling!$B$39:$DX$66,94,0),0)</f>
        <v>0</v>
      </c>
      <c r="AP5" s="404">
        <f>_xlfn.IFNA(VLOOKUP($C5,Bowling!$B$39:$DX$66,99,0),0)</f>
        <v>7.6</v>
      </c>
      <c r="AQ5" s="404">
        <f>_xlfn.IFNA(VLOOKUP($C5,Bowling!$B$39:$DX$66,104,0),0)</f>
        <v>58.2</v>
      </c>
      <c r="AR5" s="404">
        <f>_xlfn.IFNA(VLOOKUP($C5,Bowling!$B$39:$DX$66,109,0),0)</f>
        <v>14.8</v>
      </c>
      <c r="AS5" s="404">
        <f>_xlfn.IFNA(VLOOKUP($C5,Bowling!$B$39:$DX$66,114,0),0)</f>
        <v>-4.2</v>
      </c>
      <c r="AT5" s="404">
        <f>_xlfn.IFNA(VLOOKUP($C5,Bowling!$B$39:$DX$66,119,0),0)</f>
        <v>0</v>
      </c>
      <c r="AU5" s="405">
        <f>_xlfn.IFNA(VLOOKUP($C5,Bowling!$B$39:$DX$66,124,0),0)</f>
        <v>0</v>
      </c>
      <c r="AV5" s="403">
        <f>_xlfn.IFNA(VLOOKUP($C5,Fielding!$B$23:$CN$36,8,0),0)</f>
        <v>0</v>
      </c>
      <c r="AW5" s="404">
        <f>_xlfn.IFNA(VLOOKUP($C5,Fielding!$B$23:$CN$36,12,0),0)</f>
        <v>0</v>
      </c>
      <c r="AX5" s="404">
        <f>_xlfn.IFNA(VLOOKUP($C5,Fielding!$B$23:$CN$36,16,0),0)</f>
        <v>0</v>
      </c>
      <c r="AY5" s="404">
        <f>_xlfn.IFNA(VLOOKUP($C5,Fielding!$B$23:$CN$36,20,0),0)</f>
        <v>0</v>
      </c>
      <c r="AZ5" s="404">
        <f>_xlfn.IFNA(VLOOKUP($C5,Fielding!$B$23:$CN$36,24,0),0)</f>
        <v>0</v>
      </c>
      <c r="BA5" s="404">
        <f>_xlfn.IFNA(VLOOKUP($C5,Fielding!$B$23:$CN$36,28,0),0)</f>
        <v>0</v>
      </c>
      <c r="BB5" s="404">
        <f>_xlfn.IFNA(VLOOKUP($C5,Fielding!$B$23:$CN$36,32,0),0)</f>
        <v>0</v>
      </c>
      <c r="BC5" s="404">
        <f>_xlfn.IFNA(VLOOKUP($C5,Fielding!$B$23:$CN$36,36,0),0)</f>
        <v>0</v>
      </c>
      <c r="BD5" s="404">
        <f>_xlfn.IFNA(VLOOKUP($C5,Fielding!$B$23:$CN$36,40,0),0)</f>
        <v>8</v>
      </c>
      <c r="BE5" s="404">
        <f>_xlfn.IFNA(VLOOKUP($C5,Fielding!$B$23:$CN$36,44,0),0)</f>
        <v>0</v>
      </c>
      <c r="BF5" s="404">
        <f>_xlfn.IFNA(VLOOKUP($C5,Fielding!$B$23:$CN$36,48,0),0)</f>
        <v>0</v>
      </c>
      <c r="BG5" s="404">
        <f>_xlfn.IFNA(VLOOKUP($C5,Fielding!$B$23:$CN$36,52,0),0)</f>
        <v>0</v>
      </c>
      <c r="BH5" s="404">
        <f>_xlfn.IFNA(VLOOKUP($C5,Fielding!$B$23:$CN$36,56,0),0)</f>
        <v>0</v>
      </c>
      <c r="BI5" s="404">
        <f>_xlfn.IFNA(VLOOKUP($C5,Fielding!$B$23:$CN$36,60,0),0)</f>
        <v>8</v>
      </c>
      <c r="BJ5" s="404">
        <f>_xlfn.IFNA(VLOOKUP($C5,Fielding!$B$23:$CN$36,64,0),0)</f>
        <v>0</v>
      </c>
      <c r="BK5" s="404">
        <f>_xlfn.IFNA(VLOOKUP($C5,Fielding!$B$23:$CN$36,68,0),0)</f>
        <v>0</v>
      </c>
      <c r="BL5" s="404">
        <f>_xlfn.IFNA(VLOOKUP($C5,Fielding!$B$23:$CN$36,72,0),0)</f>
        <v>16</v>
      </c>
      <c r="BM5" s="404">
        <f>_xlfn.IFNA(VLOOKUP($C5,Fielding!$B$23:$CN$36,76,0),0)</f>
        <v>8</v>
      </c>
      <c r="BN5" s="404">
        <f>_xlfn.IFNA(VLOOKUP($C5,Fielding!$B$23:$CN$36,80,0),0)</f>
        <v>0</v>
      </c>
      <c r="BO5" s="404">
        <f>_xlfn.IFNA(VLOOKUP($C5,Fielding!$B$23:$CN$36,84,0),0)</f>
        <v>0</v>
      </c>
      <c r="BP5" s="405">
        <f>_xlfn.IFNA(VLOOKUP($C5,Fielding!$B$23:$CN$36,88,0),0)</f>
        <v>0</v>
      </c>
      <c r="BQ5" s="403">
        <f t="shared" si="0"/>
        <v>0</v>
      </c>
      <c r="BR5" s="404">
        <f t="shared" si="1"/>
        <v>0</v>
      </c>
      <c r="BS5" s="404">
        <f t="shared" si="2"/>
        <v>16.399999999999999</v>
      </c>
      <c r="BT5" s="404">
        <f t="shared" si="3"/>
        <v>59.8</v>
      </c>
      <c r="BU5" s="404">
        <f t="shared" si="4"/>
        <v>14.6</v>
      </c>
      <c r="BV5" s="404">
        <f t="shared" si="5"/>
        <v>0</v>
      </c>
      <c r="BW5" s="404">
        <f t="shared" si="6"/>
        <v>0</v>
      </c>
      <c r="BX5" s="404">
        <f t="shared" si="7"/>
        <v>3.8</v>
      </c>
      <c r="BY5" s="404">
        <f t="shared" si="8"/>
        <v>46.4</v>
      </c>
      <c r="BZ5" s="404">
        <f t="shared" si="9"/>
        <v>68</v>
      </c>
      <c r="CA5" s="404">
        <f t="shared" si="10"/>
        <v>20.399999999999999</v>
      </c>
      <c r="CB5" s="404">
        <f t="shared" si="11"/>
        <v>8</v>
      </c>
      <c r="CC5" s="404">
        <f t="shared" si="12"/>
        <v>0</v>
      </c>
      <c r="CD5" s="404">
        <f t="shared" si="13"/>
        <v>96.8</v>
      </c>
      <c r="CE5" s="404">
        <f t="shared" si="14"/>
        <v>0</v>
      </c>
      <c r="CF5" s="404">
        <f t="shared" si="15"/>
        <v>0.59999999999999964</v>
      </c>
      <c r="CG5" s="404">
        <f t="shared" si="16"/>
        <v>79.2</v>
      </c>
      <c r="CH5" s="404">
        <f t="shared" si="17"/>
        <v>43.8</v>
      </c>
      <c r="CI5" s="404">
        <f t="shared" si="18"/>
        <v>0.79999999999999982</v>
      </c>
      <c r="CJ5" s="404">
        <f t="shared" si="19"/>
        <v>0</v>
      </c>
      <c r="CK5" s="405">
        <f t="shared" si="20"/>
        <v>0</v>
      </c>
      <c r="CL5" s="403">
        <f t="shared" si="44"/>
        <v>0</v>
      </c>
      <c r="CM5" s="404">
        <f t="shared" si="45"/>
        <v>0</v>
      </c>
      <c r="CN5" s="404">
        <f t="shared" si="46"/>
        <v>16.399999999999999</v>
      </c>
      <c r="CO5" s="404">
        <f t="shared" si="47"/>
        <v>76.199999999999989</v>
      </c>
      <c r="CP5" s="404">
        <f t="shared" si="48"/>
        <v>90.799999999999983</v>
      </c>
      <c r="CQ5" s="404">
        <f t="shared" si="49"/>
        <v>90.799999999999983</v>
      </c>
      <c r="CR5" s="404">
        <f t="shared" si="50"/>
        <v>90.799999999999983</v>
      </c>
      <c r="CS5" s="404">
        <f t="shared" si="51"/>
        <v>94.59999999999998</v>
      </c>
      <c r="CT5" s="404">
        <f t="shared" si="52"/>
        <v>140.99999999999997</v>
      </c>
      <c r="CU5" s="404">
        <f t="shared" si="53"/>
        <v>208.99999999999997</v>
      </c>
      <c r="CV5" s="404">
        <f t="shared" si="54"/>
        <v>229.39999999999998</v>
      </c>
      <c r="CW5" s="404">
        <f t="shared" si="55"/>
        <v>237.39999999999998</v>
      </c>
      <c r="CX5" s="404">
        <f t="shared" si="56"/>
        <v>237.39999999999998</v>
      </c>
      <c r="CY5" s="404">
        <f t="shared" si="57"/>
        <v>334.2</v>
      </c>
      <c r="CZ5" s="404">
        <f t="shared" si="58"/>
        <v>334.2</v>
      </c>
      <c r="DA5" s="404">
        <f t="shared" si="59"/>
        <v>334.8</v>
      </c>
      <c r="DB5" s="404">
        <f t="shared" si="60"/>
        <v>414</v>
      </c>
      <c r="DC5" s="404">
        <f t="shared" si="61"/>
        <v>457.8</v>
      </c>
      <c r="DD5" s="404">
        <f t="shared" si="62"/>
        <v>458.6</v>
      </c>
      <c r="DE5" s="404">
        <f t="shared" si="63"/>
        <v>458.6</v>
      </c>
      <c r="DF5" s="405">
        <f t="shared" si="64"/>
        <v>458.6</v>
      </c>
      <c r="DG5" s="414" t="str">
        <f t="shared" si="22"/>
        <v>-</v>
      </c>
      <c r="DH5" s="415" t="str">
        <f t="shared" si="23"/>
        <v>-</v>
      </c>
      <c r="DI5" s="415">
        <f t="shared" si="24"/>
        <v>4</v>
      </c>
      <c r="DJ5" s="415">
        <f t="shared" si="25"/>
        <v>2</v>
      </c>
      <c r="DK5" s="415">
        <f t="shared" si="26"/>
        <v>3</v>
      </c>
      <c r="DL5" s="415">
        <f t="shared" si="27"/>
        <v>3</v>
      </c>
      <c r="DM5" s="415">
        <f t="shared" si="28"/>
        <v>4</v>
      </c>
      <c r="DN5" s="415">
        <f t="shared" si="29"/>
        <v>6</v>
      </c>
      <c r="DO5" s="415">
        <f t="shared" si="30"/>
        <v>5</v>
      </c>
      <c r="DP5" s="415">
        <f t="shared" si="31"/>
        <v>3</v>
      </c>
      <c r="DQ5" s="415">
        <f t="shared" si="32"/>
        <v>4</v>
      </c>
      <c r="DR5" s="415">
        <f t="shared" si="33"/>
        <v>3</v>
      </c>
      <c r="DS5" s="415">
        <f t="shared" si="34"/>
        <v>3</v>
      </c>
      <c r="DT5" s="415">
        <f t="shared" si="35"/>
        <v>2</v>
      </c>
      <c r="DU5" s="415">
        <f t="shared" si="36"/>
        <v>2</v>
      </c>
      <c r="DV5" s="415">
        <f t="shared" si="37"/>
        <v>3</v>
      </c>
      <c r="DW5" s="415">
        <f t="shared" si="38"/>
        <v>3</v>
      </c>
      <c r="DX5" s="415">
        <f t="shared" si="39"/>
        <v>3</v>
      </c>
      <c r="DY5" s="415">
        <f t="shared" si="40"/>
        <v>3</v>
      </c>
      <c r="DZ5" s="415">
        <f t="shared" si="41"/>
        <v>3</v>
      </c>
      <c r="EA5" s="416">
        <f t="shared" si="42"/>
        <v>3</v>
      </c>
    </row>
    <row r="6" spans="1:131" x14ac:dyDescent="0.2">
      <c r="A6" s="119"/>
      <c r="B6" s="157">
        <f t="shared" si="43"/>
        <v>4</v>
      </c>
      <c r="C6" s="158" t="s">
        <v>216</v>
      </c>
      <c r="D6" s="159" t="s">
        <v>189</v>
      </c>
      <c r="E6" s="409">
        <f>IF(ISNA(VLOOKUP($C6,Batting!$B$5:$M$103,3,FALSE)),0,(VLOOKUP($C6,Batting!$B$5:$M$103,3,FALSE)))</f>
        <v>12</v>
      </c>
      <c r="F6" s="403">
        <f>VLOOKUP($C6,Batting!$B$44:$BZ$75,17,0)</f>
        <v>0</v>
      </c>
      <c r="G6" s="404">
        <f>VLOOKUP($C6,Batting!$B$44:$BZ$75,20,0)</f>
        <v>0</v>
      </c>
      <c r="H6" s="404">
        <f>VLOOKUP($C6,Batting!$B$44:$BZ$75,23,0)</f>
        <v>2</v>
      </c>
      <c r="I6" s="404">
        <f>VLOOKUP($C6,Batting!$B$44:$BZ$75,26,0)</f>
        <v>1</v>
      </c>
      <c r="J6" s="404">
        <f>VLOOKUP($C6,Batting!$B$44:$BZ$75,29,0)</f>
        <v>7</v>
      </c>
      <c r="K6" s="404">
        <f>VLOOKUP($C6,Batting!$B$44:$BZ$75,32,0)</f>
        <v>0</v>
      </c>
      <c r="L6" s="404">
        <f>VLOOKUP($C6,Batting!$B$44:$BZ$75,35,0)</f>
        <v>0</v>
      </c>
      <c r="M6" s="404">
        <f>VLOOKUP($C6,Batting!$B$44:$BZ$75,38,0)</f>
        <v>42</v>
      </c>
      <c r="N6" s="404">
        <f>VLOOKUP($C6,Batting!$B$44:$BZ$75,41,0)</f>
        <v>-7</v>
      </c>
      <c r="O6" s="404">
        <f>VLOOKUP($C6,Batting!$B$44:$BZ$75,44,0)</f>
        <v>23</v>
      </c>
      <c r="P6" s="404">
        <f>VLOOKUP($C6,Batting!$B$44:$BZ$75,47,0)</f>
        <v>24</v>
      </c>
      <c r="Q6" s="404">
        <f>VLOOKUP($C6,Batting!$B$44:$BZ$75,50,0)</f>
        <v>0</v>
      </c>
      <c r="R6" s="404">
        <f>VLOOKUP($C6,Batting!$B$44:$BZ$75,53,0)</f>
        <v>0</v>
      </c>
      <c r="S6" s="404">
        <f>VLOOKUP($C6,Batting!$B$44:$BZ$75,56,0)</f>
        <v>25</v>
      </c>
      <c r="T6" s="404">
        <f>VLOOKUP($C6,Batting!$B$44:$BZ$75,59,0)</f>
        <v>0</v>
      </c>
      <c r="U6" s="404">
        <f>VLOOKUP($C6,Batting!$B$44:$BZ$75,62,0)</f>
        <v>7</v>
      </c>
      <c r="V6" s="404">
        <f>VLOOKUP($C6,Batting!$B$44:$BZ$75,65,0)</f>
        <v>0</v>
      </c>
      <c r="W6" s="404">
        <f>VLOOKUP($C6,Batting!$B$44:$BZ$75,68,0)</f>
        <v>21</v>
      </c>
      <c r="X6" s="404">
        <f>VLOOKUP($C6,Batting!$B$44:$BZ$75,71,0)</f>
        <v>-7</v>
      </c>
      <c r="Y6" s="404">
        <f>VLOOKUP($C6,Batting!$B$44:$BZ$75,74,0)</f>
        <v>0</v>
      </c>
      <c r="Z6" s="405">
        <f>VLOOKUP($C6,Batting!$B$44:$BZ$75,77,0)</f>
        <v>0</v>
      </c>
      <c r="AA6" s="403">
        <f>_xlfn.IFNA(VLOOKUP($C6,Bowling!$B$39:$DX$66,24,0),0)</f>
        <v>0</v>
      </c>
      <c r="AB6" s="404">
        <f>_xlfn.IFNA(VLOOKUP($C6,Bowling!$B$39:$DX$66,29,0),0)</f>
        <v>0</v>
      </c>
      <c r="AC6" s="404">
        <f>_xlfn.IFNA(VLOOKUP($C6,Bowling!$B$39:$DX$66,34,0),0)</f>
        <v>-4.4000000000000004</v>
      </c>
      <c r="AD6" s="404">
        <f>_xlfn.IFNA(VLOOKUP($C6,Bowling!$B$39:$DX$66,39,0),0)</f>
        <v>54.4</v>
      </c>
      <c r="AE6" s="404">
        <f>_xlfn.IFNA(VLOOKUP($C6,Bowling!$B$39:$DX$66,44,0),0)</f>
        <v>-6.6</v>
      </c>
      <c r="AF6" s="404">
        <f>_xlfn.IFNA(VLOOKUP($C6,Bowling!$B$39:$DX$66,49,0),0)</f>
        <v>0</v>
      </c>
      <c r="AG6" s="404">
        <f>_xlfn.IFNA(VLOOKUP($C6,Bowling!$B$39:$DX$66,54,0),0)</f>
        <v>0</v>
      </c>
      <c r="AH6" s="404">
        <f>_xlfn.IFNA(VLOOKUP($C6,Bowling!$B$39:$DX$66,59,0),0)</f>
        <v>13.2</v>
      </c>
      <c r="AI6" s="404">
        <f>_xlfn.IFNA(VLOOKUP($C6,Bowling!$B$39:$DX$66,64,0),0)</f>
        <v>57.6</v>
      </c>
      <c r="AJ6" s="404">
        <f>_xlfn.IFNA(VLOOKUP($C6,Bowling!$B$39:$DX$66,69,0),0)</f>
        <v>11.2</v>
      </c>
      <c r="AK6" s="404">
        <f>_xlfn.IFNA(VLOOKUP($C6,Bowling!$B$39:$DX$66,74,0),0)</f>
        <v>10.199999999999999</v>
      </c>
      <c r="AL6" s="404">
        <f>_xlfn.IFNA(VLOOKUP($C6,Bowling!$B$39:$DX$66,79,0),0)</f>
        <v>0</v>
      </c>
      <c r="AM6" s="404">
        <f>_xlfn.IFNA(VLOOKUP($C6,Bowling!$B$39:$DX$66,84,0),0)</f>
        <v>0</v>
      </c>
      <c r="AN6" s="404">
        <f>_xlfn.IFNA(VLOOKUP($C6,Bowling!$B$39:$DX$66,89,0),0)</f>
        <v>13</v>
      </c>
      <c r="AO6" s="404">
        <f>_xlfn.IFNA(VLOOKUP($C6,Bowling!$B$39:$DX$66,94,0),0)</f>
        <v>0</v>
      </c>
      <c r="AP6" s="404">
        <f>_xlfn.IFNA(VLOOKUP($C6,Bowling!$B$39:$DX$66,99,0),0)</f>
        <v>8.6</v>
      </c>
      <c r="AQ6" s="404">
        <f>_xlfn.IFNA(VLOOKUP($C6,Bowling!$B$39:$DX$66,104,0),0)</f>
        <v>38</v>
      </c>
      <c r="AR6" s="404">
        <f>_xlfn.IFNA(VLOOKUP($C6,Bowling!$B$39:$DX$66,109,0),0)</f>
        <v>34.799999999999997</v>
      </c>
      <c r="AS6" s="404">
        <f>_xlfn.IFNA(VLOOKUP($C6,Bowling!$B$39:$DX$66,114,0),0)</f>
        <v>50.2</v>
      </c>
      <c r="AT6" s="404">
        <f>_xlfn.IFNA(VLOOKUP($C6,Bowling!$B$39:$DX$66,119,0),0)</f>
        <v>0</v>
      </c>
      <c r="AU6" s="405">
        <f>_xlfn.IFNA(VLOOKUP($C6,Bowling!$B$39:$DX$66,124,0),0)</f>
        <v>0</v>
      </c>
      <c r="AV6" s="403">
        <f>_xlfn.IFNA(VLOOKUP($C6,Fielding!$B$23:$CN$36,8,0),0)</f>
        <v>0</v>
      </c>
      <c r="AW6" s="404">
        <f>_xlfn.IFNA(VLOOKUP($C6,Fielding!$B$23:$CN$36,12,0),0)</f>
        <v>0</v>
      </c>
      <c r="AX6" s="404">
        <f>_xlfn.IFNA(VLOOKUP($C6,Fielding!$B$23:$CN$36,16,0),0)</f>
        <v>0</v>
      </c>
      <c r="AY6" s="404">
        <f>_xlfn.IFNA(VLOOKUP($C6,Fielding!$B$23:$CN$36,20,0),0)</f>
        <v>0</v>
      </c>
      <c r="AZ6" s="404">
        <f>_xlfn.IFNA(VLOOKUP($C6,Fielding!$B$23:$CN$36,24,0),0)</f>
        <v>0</v>
      </c>
      <c r="BA6" s="404">
        <f>_xlfn.IFNA(VLOOKUP($C6,Fielding!$B$23:$CN$36,28,0),0)</f>
        <v>0</v>
      </c>
      <c r="BB6" s="404">
        <f>_xlfn.IFNA(VLOOKUP($C6,Fielding!$B$23:$CN$36,32,0),0)</f>
        <v>0</v>
      </c>
      <c r="BC6" s="404">
        <f>_xlfn.IFNA(VLOOKUP($C6,Fielding!$B$23:$CN$36,36,0),0)</f>
        <v>0</v>
      </c>
      <c r="BD6" s="404">
        <f>_xlfn.IFNA(VLOOKUP($C6,Fielding!$B$23:$CN$36,40,0),0)</f>
        <v>0</v>
      </c>
      <c r="BE6" s="404">
        <f>_xlfn.IFNA(VLOOKUP($C6,Fielding!$B$23:$CN$36,44,0),0)</f>
        <v>0</v>
      </c>
      <c r="BF6" s="404">
        <f>_xlfn.IFNA(VLOOKUP($C6,Fielding!$B$23:$CN$36,48,0),0)</f>
        <v>8</v>
      </c>
      <c r="BG6" s="404">
        <f>_xlfn.IFNA(VLOOKUP($C6,Fielding!$B$23:$CN$36,52,0),0)</f>
        <v>0</v>
      </c>
      <c r="BH6" s="404">
        <f>_xlfn.IFNA(VLOOKUP($C6,Fielding!$B$23:$CN$36,56,0),0)</f>
        <v>0</v>
      </c>
      <c r="BI6" s="404">
        <f>_xlfn.IFNA(VLOOKUP($C6,Fielding!$B$23:$CN$36,60,0),0)</f>
        <v>0</v>
      </c>
      <c r="BJ6" s="404">
        <f>_xlfn.IFNA(VLOOKUP($C6,Fielding!$B$23:$CN$36,64,0),0)</f>
        <v>0</v>
      </c>
      <c r="BK6" s="404">
        <f>_xlfn.IFNA(VLOOKUP($C6,Fielding!$B$23:$CN$36,68,0),0)</f>
        <v>0</v>
      </c>
      <c r="BL6" s="404">
        <f>_xlfn.IFNA(VLOOKUP($C6,Fielding!$B$23:$CN$36,72,0),0)</f>
        <v>0</v>
      </c>
      <c r="BM6" s="404">
        <f>_xlfn.IFNA(VLOOKUP($C6,Fielding!$B$23:$CN$36,76,0),0)</f>
        <v>0</v>
      </c>
      <c r="BN6" s="404">
        <f>_xlfn.IFNA(VLOOKUP($C6,Fielding!$B$23:$CN$36,80,0),0)</f>
        <v>16</v>
      </c>
      <c r="BO6" s="404">
        <f>_xlfn.IFNA(VLOOKUP($C6,Fielding!$B$23:$CN$36,84,0),0)</f>
        <v>0</v>
      </c>
      <c r="BP6" s="405">
        <f>_xlfn.IFNA(VLOOKUP($C6,Fielding!$B$23:$CN$36,88,0),0)</f>
        <v>0</v>
      </c>
      <c r="BQ6" s="403">
        <f t="shared" si="0"/>
        <v>0</v>
      </c>
      <c r="BR6" s="404">
        <f t="shared" si="1"/>
        <v>0</v>
      </c>
      <c r="BS6" s="404">
        <f t="shared" si="2"/>
        <v>-2.4000000000000004</v>
      </c>
      <c r="BT6" s="404">
        <f t="shared" si="3"/>
        <v>55.4</v>
      </c>
      <c r="BU6" s="404">
        <f t="shared" si="4"/>
        <v>0.40000000000000036</v>
      </c>
      <c r="BV6" s="404">
        <f t="shared" si="5"/>
        <v>0</v>
      </c>
      <c r="BW6" s="404">
        <f t="shared" si="6"/>
        <v>0</v>
      </c>
      <c r="BX6" s="404">
        <f t="shared" si="7"/>
        <v>55.2</v>
      </c>
      <c r="BY6" s="404">
        <f t="shared" si="8"/>
        <v>50.6</v>
      </c>
      <c r="BZ6" s="404">
        <f t="shared" si="9"/>
        <v>34.200000000000003</v>
      </c>
      <c r="CA6" s="404">
        <f t="shared" si="10"/>
        <v>42.2</v>
      </c>
      <c r="CB6" s="404">
        <f t="shared" si="11"/>
        <v>0</v>
      </c>
      <c r="CC6" s="404">
        <f t="shared" si="12"/>
        <v>0</v>
      </c>
      <c r="CD6" s="404">
        <f t="shared" si="13"/>
        <v>38</v>
      </c>
      <c r="CE6" s="404">
        <f t="shared" si="14"/>
        <v>0</v>
      </c>
      <c r="CF6" s="404">
        <f t="shared" si="15"/>
        <v>15.6</v>
      </c>
      <c r="CG6" s="404">
        <f t="shared" si="16"/>
        <v>38</v>
      </c>
      <c r="CH6" s="404">
        <f t="shared" si="17"/>
        <v>55.8</v>
      </c>
      <c r="CI6" s="404">
        <f t="shared" si="18"/>
        <v>59.2</v>
      </c>
      <c r="CJ6" s="404">
        <f t="shared" si="19"/>
        <v>0</v>
      </c>
      <c r="CK6" s="405">
        <f t="shared" si="20"/>
        <v>0</v>
      </c>
      <c r="CL6" s="403">
        <f t="shared" si="44"/>
        <v>0</v>
      </c>
      <c r="CM6" s="404">
        <f t="shared" si="45"/>
        <v>0</v>
      </c>
      <c r="CN6" s="404">
        <f t="shared" si="46"/>
        <v>-2.4000000000000004</v>
      </c>
      <c r="CO6" s="404">
        <f t="shared" si="47"/>
        <v>53</v>
      </c>
      <c r="CP6" s="404">
        <f t="shared" si="48"/>
        <v>53.4</v>
      </c>
      <c r="CQ6" s="404">
        <f t="shared" si="49"/>
        <v>53.4</v>
      </c>
      <c r="CR6" s="404">
        <f t="shared" si="50"/>
        <v>53.4</v>
      </c>
      <c r="CS6" s="404">
        <f t="shared" si="51"/>
        <v>108.6</v>
      </c>
      <c r="CT6" s="404">
        <f t="shared" si="52"/>
        <v>159.19999999999999</v>
      </c>
      <c r="CU6" s="404">
        <f t="shared" si="53"/>
        <v>193.39999999999998</v>
      </c>
      <c r="CV6" s="404">
        <f t="shared" si="54"/>
        <v>235.59999999999997</v>
      </c>
      <c r="CW6" s="404">
        <f t="shared" si="55"/>
        <v>235.59999999999997</v>
      </c>
      <c r="CX6" s="404">
        <f t="shared" si="56"/>
        <v>235.59999999999997</v>
      </c>
      <c r="CY6" s="404">
        <f t="shared" si="57"/>
        <v>273.59999999999997</v>
      </c>
      <c r="CZ6" s="404">
        <f t="shared" si="58"/>
        <v>273.59999999999997</v>
      </c>
      <c r="DA6" s="404">
        <f t="shared" si="59"/>
        <v>289.2</v>
      </c>
      <c r="DB6" s="404">
        <f t="shared" si="60"/>
        <v>327.2</v>
      </c>
      <c r="DC6" s="404">
        <f t="shared" si="61"/>
        <v>383</v>
      </c>
      <c r="DD6" s="404">
        <f t="shared" si="62"/>
        <v>442.2</v>
      </c>
      <c r="DE6" s="404">
        <f t="shared" si="63"/>
        <v>442.2</v>
      </c>
      <c r="DF6" s="405">
        <f t="shared" si="64"/>
        <v>442.2</v>
      </c>
      <c r="DG6" s="414" t="str">
        <f t="shared" si="22"/>
        <v>-</v>
      </c>
      <c r="DH6" s="415" t="str">
        <f t="shared" si="23"/>
        <v>-</v>
      </c>
      <c r="DI6" s="415">
        <f t="shared" si="24"/>
        <v>31</v>
      </c>
      <c r="DJ6" s="415">
        <f t="shared" si="25"/>
        <v>4</v>
      </c>
      <c r="DK6" s="415">
        <f t="shared" si="26"/>
        <v>6</v>
      </c>
      <c r="DL6" s="415">
        <f t="shared" si="27"/>
        <v>6</v>
      </c>
      <c r="DM6" s="415">
        <f t="shared" si="28"/>
        <v>8</v>
      </c>
      <c r="DN6" s="415">
        <f t="shared" si="29"/>
        <v>3</v>
      </c>
      <c r="DO6" s="415">
        <f t="shared" si="30"/>
        <v>3</v>
      </c>
      <c r="DP6" s="415">
        <f t="shared" si="31"/>
        <v>4</v>
      </c>
      <c r="DQ6" s="415">
        <f t="shared" si="32"/>
        <v>3</v>
      </c>
      <c r="DR6" s="415">
        <f t="shared" si="33"/>
        <v>4</v>
      </c>
      <c r="DS6" s="415">
        <f t="shared" si="34"/>
        <v>4</v>
      </c>
      <c r="DT6" s="415">
        <f t="shared" si="35"/>
        <v>4</v>
      </c>
      <c r="DU6" s="415">
        <f t="shared" si="36"/>
        <v>4</v>
      </c>
      <c r="DV6" s="415">
        <f t="shared" si="37"/>
        <v>4</v>
      </c>
      <c r="DW6" s="415">
        <f t="shared" si="38"/>
        <v>4</v>
      </c>
      <c r="DX6" s="415">
        <f t="shared" si="39"/>
        <v>4</v>
      </c>
      <c r="DY6" s="415">
        <f t="shared" si="40"/>
        <v>4</v>
      </c>
      <c r="DZ6" s="415">
        <f t="shared" si="41"/>
        <v>4</v>
      </c>
      <c r="EA6" s="416">
        <f t="shared" si="42"/>
        <v>4</v>
      </c>
    </row>
    <row r="7" spans="1:131" x14ac:dyDescent="0.2">
      <c r="A7" s="119"/>
      <c r="B7" s="157">
        <f t="shared" si="43"/>
        <v>5</v>
      </c>
      <c r="C7" s="158" t="s">
        <v>42</v>
      </c>
      <c r="D7" s="159" t="s">
        <v>189</v>
      </c>
      <c r="E7" s="409">
        <f>IF(ISNA(VLOOKUP($C7,Batting!$B$5:$M$103,3,FALSE)),0,(VLOOKUP($C7,Batting!$B$5:$M$103,3,FALSE)))</f>
        <v>14</v>
      </c>
      <c r="F7" s="403">
        <f>VLOOKUP($C7,Batting!$B$44:$BZ$75,17,0)</f>
        <v>0</v>
      </c>
      <c r="G7" s="404">
        <f>VLOOKUP($C7,Batting!$B$44:$BZ$75,20,0)</f>
        <v>0</v>
      </c>
      <c r="H7" s="404">
        <f>VLOOKUP($C7,Batting!$B$44:$BZ$75,23,0)</f>
        <v>0</v>
      </c>
      <c r="I7" s="404">
        <f>VLOOKUP($C7,Batting!$B$44:$BZ$75,26,0)</f>
        <v>2</v>
      </c>
      <c r="J7" s="404">
        <f>VLOOKUP($C7,Batting!$B$44:$BZ$75,29,0)</f>
        <v>0</v>
      </c>
      <c r="K7" s="404">
        <f>VLOOKUP($C7,Batting!$B$44:$BZ$75,32,0)</f>
        <v>0</v>
      </c>
      <c r="L7" s="404">
        <f>VLOOKUP($C7,Batting!$B$44:$BZ$75,35,0)</f>
        <v>0</v>
      </c>
      <c r="M7" s="404">
        <f>VLOOKUP($C7,Batting!$B$44:$BZ$75,38,0)</f>
        <v>14</v>
      </c>
      <c r="N7" s="404">
        <f>VLOOKUP($C7,Batting!$B$44:$BZ$75,41,0)</f>
        <v>5</v>
      </c>
      <c r="O7" s="404">
        <f>VLOOKUP($C7,Batting!$B$44:$BZ$75,44,0)</f>
        <v>-7</v>
      </c>
      <c r="P7" s="404">
        <f>VLOOKUP($C7,Batting!$B$44:$BZ$75,47,0)</f>
        <v>-7</v>
      </c>
      <c r="Q7" s="404">
        <f>VLOOKUP($C7,Batting!$B$44:$BZ$75,50,0)</f>
        <v>21</v>
      </c>
      <c r="R7" s="404">
        <f>VLOOKUP($C7,Batting!$B$44:$BZ$75,53,0)</f>
        <v>0</v>
      </c>
      <c r="S7" s="404">
        <f>VLOOKUP($C7,Batting!$B$44:$BZ$75,56,0)</f>
        <v>0</v>
      </c>
      <c r="T7" s="404">
        <f>VLOOKUP($C7,Batting!$B$44:$BZ$75,59,0)</f>
        <v>0</v>
      </c>
      <c r="U7" s="404">
        <f>VLOOKUP($C7,Batting!$B$44:$BZ$75,62,0)</f>
        <v>2</v>
      </c>
      <c r="V7" s="404">
        <f>VLOOKUP($C7,Batting!$B$44:$BZ$75,65,0)</f>
        <v>0</v>
      </c>
      <c r="W7" s="404">
        <f>VLOOKUP($C7,Batting!$B$44:$BZ$75,68,0)</f>
        <v>0</v>
      </c>
      <c r="X7" s="404">
        <f>VLOOKUP($C7,Batting!$B$44:$BZ$75,71,0)</f>
        <v>24</v>
      </c>
      <c r="Y7" s="404">
        <f>VLOOKUP($C7,Batting!$B$44:$BZ$75,74,0)</f>
        <v>0</v>
      </c>
      <c r="Z7" s="405">
        <f>VLOOKUP($C7,Batting!$B$44:$BZ$75,77,0)</f>
        <v>0</v>
      </c>
      <c r="AA7" s="403">
        <f>_xlfn.IFNA(VLOOKUP($C7,Bowling!$B$39:$DX$66,24,0),0)</f>
        <v>0</v>
      </c>
      <c r="AB7" s="404">
        <f>_xlfn.IFNA(VLOOKUP($C7,Bowling!$B$39:$DX$66,29,0),0)</f>
        <v>0</v>
      </c>
      <c r="AC7" s="404">
        <f>_xlfn.IFNA(VLOOKUP($C7,Bowling!$B$39:$DX$66,34,0),0)</f>
        <v>10.199999999999999</v>
      </c>
      <c r="AD7" s="404">
        <f>_xlfn.IFNA(VLOOKUP($C7,Bowling!$B$39:$DX$66,39,0),0)</f>
        <v>29</v>
      </c>
      <c r="AE7" s="404">
        <f>_xlfn.IFNA(VLOOKUP($C7,Bowling!$B$39:$DX$66,44,0),0)</f>
        <v>0</v>
      </c>
      <c r="AF7" s="404">
        <f>_xlfn.IFNA(VLOOKUP($C7,Bowling!$B$39:$DX$66,49,0),0)</f>
        <v>0</v>
      </c>
      <c r="AG7" s="404">
        <f>_xlfn.IFNA(VLOOKUP($C7,Bowling!$B$39:$DX$66,54,0),0)</f>
        <v>19.2</v>
      </c>
      <c r="AH7" s="404">
        <f>_xlfn.IFNA(VLOOKUP($C7,Bowling!$B$39:$DX$66,59,0),0)</f>
        <v>12.2</v>
      </c>
      <c r="AI7" s="404">
        <f>_xlfn.IFNA(VLOOKUP($C7,Bowling!$B$39:$DX$66,64,0),0)</f>
        <v>36.6</v>
      </c>
      <c r="AJ7" s="404">
        <f>_xlfn.IFNA(VLOOKUP($C7,Bowling!$B$39:$DX$66,69,0),0)</f>
        <v>55.2</v>
      </c>
      <c r="AK7" s="404">
        <f>_xlfn.IFNA(VLOOKUP($C7,Bowling!$B$39:$DX$66,74,0),0)</f>
        <v>0</v>
      </c>
      <c r="AL7" s="404">
        <f>_xlfn.IFNA(VLOOKUP($C7,Bowling!$B$39:$DX$66,79,0),0)</f>
        <v>-0.6</v>
      </c>
      <c r="AM7" s="404">
        <f>_xlfn.IFNA(VLOOKUP($C7,Bowling!$B$39:$DX$66,84,0),0)</f>
        <v>0</v>
      </c>
      <c r="AN7" s="404">
        <f>_xlfn.IFNA(VLOOKUP($C7,Bowling!$B$39:$DX$66,89,0),0)</f>
        <v>0</v>
      </c>
      <c r="AO7" s="404">
        <f>_xlfn.IFNA(VLOOKUP($C7,Bowling!$B$39:$DX$66,94,0),0)</f>
        <v>0</v>
      </c>
      <c r="AP7" s="404">
        <f>_xlfn.IFNA(VLOOKUP($C7,Bowling!$B$39:$DX$66,99,0),0)</f>
        <v>0</v>
      </c>
      <c r="AQ7" s="404">
        <f>_xlfn.IFNA(VLOOKUP($C7,Bowling!$B$39:$DX$66,104,0),0)</f>
        <v>37.799999999999997</v>
      </c>
      <c r="AR7" s="404">
        <f>_xlfn.IFNA(VLOOKUP($C7,Bowling!$B$39:$DX$66,109,0),0)</f>
        <v>32.6</v>
      </c>
      <c r="AS7" s="404">
        <f>_xlfn.IFNA(VLOOKUP($C7,Bowling!$B$39:$DX$66,114,0),0)</f>
        <v>-4</v>
      </c>
      <c r="AT7" s="404">
        <f>_xlfn.IFNA(VLOOKUP($C7,Bowling!$B$39:$DX$66,119,0),0)</f>
        <v>0</v>
      </c>
      <c r="AU7" s="405">
        <f>_xlfn.IFNA(VLOOKUP($C7,Bowling!$B$39:$DX$66,124,0),0)</f>
        <v>0</v>
      </c>
      <c r="AV7" s="403">
        <f>_xlfn.IFNA(VLOOKUP($C7,Fielding!$B$23:$CN$36,8,0),0)</f>
        <v>0</v>
      </c>
      <c r="AW7" s="404">
        <f>_xlfn.IFNA(VLOOKUP($C7,Fielding!$B$23:$CN$36,12,0),0)</f>
        <v>0</v>
      </c>
      <c r="AX7" s="404">
        <f>_xlfn.IFNA(VLOOKUP($C7,Fielding!$B$23:$CN$36,16,0),0)</f>
        <v>0</v>
      </c>
      <c r="AY7" s="404">
        <f>_xlfn.IFNA(VLOOKUP($C7,Fielding!$B$23:$CN$36,20,0),0)</f>
        <v>8</v>
      </c>
      <c r="AZ7" s="404">
        <f>_xlfn.IFNA(VLOOKUP($C7,Fielding!$B$23:$CN$36,24,0),0)</f>
        <v>0</v>
      </c>
      <c r="BA7" s="404">
        <f>_xlfn.IFNA(VLOOKUP($C7,Fielding!$B$23:$CN$36,28,0),0)</f>
        <v>0</v>
      </c>
      <c r="BB7" s="404">
        <f>_xlfn.IFNA(VLOOKUP($C7,Fielding!$B$23:$CN$36,32,0),0)</f>
        <v>0</v>
      </c>
      <c r="BC7" s="404">
        <f>_xlfn.IFNA(VLOOKUP($C7,Fielding!$B$23:$CN$36,36,0),0)</f>
        <v>8</v>
      </c>
      <c r="BD7" s="404">
        <f>_xlfn.IFNA(VLOOKUP($C7,Fielding!$B$23:$CN$36,40,0),0)</f>
        <v>0</v>
      </c>
      <c r="BE7" s="404">
        <f>_xlfn.IFNA(VLOOKUP($C7,Fielding!$B$23:$CN$36,44,0),0)</f>
        <v>0</v>
      </c>
      <c r="BF7" s="404">
        <f>_xlfn.IFNA(VLOOKUP($C7,Fielding!$B$23:$CN$36,48,0),0)</f>
        <v>0</v>
      </c>
      <c r="BG7" s="404">
        <f>_xlfn.IFNA(VLOOKUP($C7,Fielding!$B$23:$CN$36,52,0),0)</f>
        <v>0</v>
      </c>
      <c r="BH7" s="404">
        <f>_xlfn.IFNA(VLOOKUP($C7,Fielding!$B$23:$CN$36,56,0),0)</f>
        <v>0</v>
      </c>
      <c r="BI7" s="404">
        <f>_xlfn.IFNA(VLOOKUP($C7,Fielding!$B$23:$CN$36,60,0),0)</f>
        <v>0</v>
      </c>
      <c r="BJ7" s="404">
        <f>_xlfn.IFNA(VLOOKUP($C7,Fielding!$B$23:$CN$36,64,0),0)</f>
        <v>0</v>
      </c>
      <c r="BK7" s="404">
        <f>_xlfn.IFNA(VLOOKUP($C7,Fielding!$B$23:$CN$36,68,0),0)</f>
        <v>16</v>
      </c>
      <c r="BL7" s="404">
        <f>_xlfn.IFNA(VLOOKUP($C7,Fielding!$B$23:$CN$36,72,0),0)</f>
        <v>0</v>
      </c>
      <c r="BM7" s="404">
        <f>_xlfn.IFNA(VLOOKUP($C7,Fielding!$B$23:$CN$36,76,0),0)</f>
        <v>0</v>
      </c>
      <c r="BN7" s="404">
        <f>_xlfn.IFNA(VLOOKUP($C7,Fielding!$B$23:$CN$36,80,0),0)</f>
        <v>0</v>
      </c>
      <c r="BO7" s="404">
        <f>_xlfn.IFNA(VLOOKUP($C7,Fielding!$B$23:$CN$36,84,0),0)</f>
        <v>0</v>
      </c>
      <c r="BP7" s="405">
        <f>_xlfn.IFNA(VLOOKUP($C7,Fielding!$B$23:$CN$36,88,0),0)</f>
        <v>0</v>
      </c>
      <c r="BQ7" s="403">
        <f t="shared" si="0"/>
        <v>0</v>
      </c>
      <c r="BR7" s="404">
        <f t="shared" si="1"/>
        <v>0</v>
      </c>
      <c r="BS7" s="404">
        <f t="shared" si="2"/>
        <v>10.199999999999999</v>
      </c>
      <c r="BT7" s="404">
        <f t="shared" si="3"/>
        <v>39</v>
      </c>
      <c r="BU7" s="404">
        <f t="shared" si="4"/>
        <v>0</v>
      </c>
      <c r="BV7" s="404">
        <f t="shared" si="5"/>
        <v>0</v>
      </c>
      <c r="BW7" s="404">
        <f t="shared" si="6"/>
        <v>19.2</v>
      </c>
      <c r="BX7" s="404">
        <f t="shared" si="7"/>
        <v>34.200000000000003</v>
      </c>
      <c r="BY7" s="404">
        <f t="shared" si="8"/>
        <v>41.6</v>
      </c>
      <c r="BZ7" s="404">
        <f t="shared" si="9"/>
        <v>48.2</v>
      </c>
      <c r="CA7" s="404">
        <f t="shared" si="10"/>
        <v>-7</v>
      </c>
      <c r="CB7" s="404">
        <f t="shared" si="11"/>
        <v>20.399999999999999</v>
      </c>
      <c r="CC7" s="404">
        <f t="shared" si="12"/>
        <v>0</v>
      </c>
      <c r="CD7" s="404">
        <f t="shared" si="13"/>
        <v>0</v>
      </c>
      <c r="CE7" s="404">
        <f t="shared" si="14"/>
        <v>0</v>
      </c>
      <c r="CF7" s="404">
        <f t="shared" si="15"/>
        <v>18</v>
      </c>
      <c r="CG7" s="404">
        <f t="shared" si="16"/>
        <v>37.799999999999997</v>
      </c>
      <c r="CH7" s="404">
        <f t="shared" si="17"/>
        <v>32.6</v>
      </c>
      <c r="CI7" s="404">
        <f t="shared" si="18"/>
        <v>20</v>
      </c>
      <c r="CJ7" s="404">
        <f t="shared" si="19"/>
        <v>0</v>
      </c>
      <c r="CK7" s="405">
        <f t="shared" si="20"/>
        <v>0</v>
      </c>
      <c r="CL7" s="403">
        <f t="shared" si="44"/>
        <v>0</v>
      </c>
      <c r="CM7" s="404">
        <f t="shared" si="45"/>
        <v>0</v>
      </c>
      <c r="CN7" s="404">
        <f t="shared" si="46"/>
        <v>10.199999999999999</v>
      </c>
      <c r="CO7" s="404">
        <f t="shared" si="47"/>
        <v>49.2</v>
      </c>
      <c r="CP7" s="404">
        <f t="shared" si="48"/>
        <v>49.2</v>
      </c>
      <c r="CQ7" s="404">
        <f t="shared" si="49"/>
        <v>49.2</v>
      </c>
      <c r="CR7" s="404">
        <f t="shared" si="50"/>
        <v>68.400000000000006</v>
      </c>
      <c r="CS7" s="404">
        <f t="shared" si="51"/>
        <v>102.60000000000001</v>
      </c>
      <c r="CT7" s="404">
        <f t="shared" si="52"/>
        <v>144.20000000000002</v>
      </c>
      <c r="CU7" s="404">
        <f t="shared" si="53"/>
        <v>192.40000000000003</v>
      </c>
      <c r="CV7" s="404">
        <f t="shared" si="54"/>
        <v>185.40000000000003</v>
      </c>
      <c r="CW7" s="404">
        <f t="shared" si="55"/>
        <v>205.80000000000004</v>
      </c>
      <c r="CX7" s="404">
        <f t="shared" si="56"/>
        <v>205.80000000000004</v>
      </c>
      <c r="CY7" s="404">
        <f t="shared" si="57"/>
        <v>205.80000000000004</v>
      </c>
      <c r="CZ7" s="404">
        <f t="shared" si="58"/>
        <v>205.80000000000004</v>
      </c>
      <c r="DA7" s="404">
        <f t="shared" si="59"/>
        <v>223.80000000000004</v>
      </c>
      <c r="DB7" s="404">
        <f t="shared" si="60"/>
        <v>261.60000000000002</v>
      </c>
      <c r="DC7" s="404">
        <f t="shared" si="61"/>
        <v>294.20000000000005</v>
      </c>
      <c r="DD7" s="404">
        <f t="shared" si="62"/>
        <v>314.20000000000005</v>
      </c>
      <c r="DE7" s="404">
        <f t="shared" si="63"/>
        <v>314.20000000000005</v>
      </c>
      <c r="DF7" s="405">
        <f t="shared" si="64"/>
        <v>314.20000000000005</v>
      </c>
      <c r="DG7" s="414" t="str">
        <f t="shared" si="22"/>
        <v>-</v>
      </c>
      <c r="DH7" s="415" t="str">
        <f t="shared" si="23"/>
        <v>-</v>
      </c>
      <c r="DI7" s="415">
        <f t="shared" si="24"/>
        <v>6</v>
      </c>
      <c r="DJ7" s="415">
        <f t="shared" si="25"/>
        <v>5</v>
      </c>
      <c r="DK7" s="415">
        <f t="shared" si="26"/>
        <v>7</v>
      </c>
      <c r="DL7" s="415">
        <f t="shared" si="27"/>
        <v>7</v>
      </c>
      <c r="DM7" s="415">
        <f t="shared" si="28"/>
        <v>6</v>
      </c>
      <c r="DN7" s="415">
        <f t="shared" si="29"/>
        <v>5</v>
      </c>
      <c r="DO7" s="415">
        <f t="shared" si="30"/>
        <v>4</v>
      </c>
      <c r="DP7" s="415">
        <f t="shared" si="31"/>
        <v>5</v>
      </c>
      <c r="DQ7" s="415">
        <f t="shared" si="32"/>
        <v>5</v>
      </c>
      <c r="DR7" s="415">
        <f t="shared" si="33"/>
        <v>5</v>
      </c>
      <c r="DS7" s="415">
        <f t="shared" si="34"/>
        <v>5</v>
      </c>
      <c r="DT7" s="415">
        <f t="shared" si="35"/>
        <v>6</v>
      </c>
      <c r="DU7" s="415">
        <f t="shared" si="36"/>
        <v>6</v>
      </c>
      <c r="DV7" s="415">
        <f t="shared" si="37"/>
        <v>5</v>
      </c>
      <c r="DW7" s="415">
        <f t="shared" si="38"/>
        <v>5</v>
      </c>
      <c r="DX7" s="415">
        <f t="shared" si="39"/>
        <v>5</v>
      </c>
      <c r="DY7" s="415">
        <f t="shared" si="40"/>
        <v>5</v>
      </c>
      <c r="DZ7" s="415">
        <f t="shared" si="41"/>
        <v>5</v>
      </c>
      <c r="EA7" s="416">
        <f t="shared" si="42"/>
        <v>5</v>
      </c>
    </row>
    <row r="8" spans="1:131" x14ac:dyDescent="0.2">
      <c r="A8" s="119"/>
      <c r="B8" s="157">
        <f t="shared" si="43"/>
        <v>6</v>
      </c>
      <c r="C8" s="158" t="s">
        <v>206</v>
      </c>
      <c r="D8" s="159" t="s">
        <v>188</v>
      </c>
      <c r="E8" s="409">
        <f>IF(ISNA(VLOOKUP($C8,Batting!$B$5:$M$103,3,FALSE)),0,(VLOOKUP($C8,Batting!$B$5:$M$103,3,FALSE)))</f>
        <v>8</v>
      </c>
      <c r="F8" s="403">
        <f>VLOOKUP($C8,Batting!$B$44:$BZ$75,17,0)</f>
        <v>0</v>
      </c>
      <c r="G8" s="404">
        <f>VLOOKUP($C8,Batting!$B$44:$BZ$75,20,0)</f>
        <v>0</v>
      </c>
      <c r="H8" s="404">
        <f>VLOOKUP($C8,Batting!$B$44:$BZ$75,23,0)</f>
        <v>18</v>
      </c>
      <c r="I8" s="404">
        <f>VLOOKUP($C8,Batting!$B$44:$BZ$75,26,0)</f>
        <v>0</v>
      </c>
      <c r="J8" s="404">
        <f>VLOOKUP($C8,Batting!$B$44:$BZ$75,29,0)</f>
        <v>8</v>
      </c>
      <c r="K8" s="404">
        <f>VLOOKUP($C8,Batting!$B$44:$BZ$75,32,0)</f>
        <v>0</v>
      </c>
      <c r="L8" s="404">
        <f>VLOOKUP($C8,Batting!$B$44:$BZ$75,35,0)</f>
        <v>-7</v>
      </c>
      <c r="M8" s="404">
        <f>VLOOKUP($C8,Batting!$B$44:$BZ$75,38,0)</f>
        <v>0</v>
      </c>
      <c r="N8" s="404">
        <f>VLOOKUP($C8,Batting!$B$44:$BZ$75,41,0)</f>
        <v>9</v>
      </c>
      <c r="O8" s="404">
        <f>VLOOKUP($C8,Batting!$B$44:$BZ$75,44,0)</f>
        <v>0</v>
      </c>
      <c r="P8" s="404">
        <f>VLOOKUP($C8,Batting!$B$44:$BZ$75,47,0)</f>
        <v>0</v>
      </c>
      <c r="Q8" s="404">
        <f>VLOOKUP($C8,Batting!$B$44:$BZ$75,50,0)</f>
        <v>15</v>
      </c>
      <c r="R8" s="404">
        <f>VLOOKUP($C8,Batting!$B$44:$BZ$75,53,0)</f>
        <v>0</v>
      </c>
      <c r="S8" s="404">
        <f>VLOOKUP($C8,Batting!$B$44:$BZ$75,56,0)</f>
        <v>23</v>
      </c>
      <c r="T8" s="404">
        <f>VLOOKUP($C8,Batting!$B$44:$BZ$75,59,0)</f>
        <v>0</v>
      </c>
      <c r="U8" s="404">
        <f>VLOOKUP($C8,Batting!$B$44:$BZ$75,62,0)</f>
        <v>9</v>
      </c>
      <c r="V8" s="404">
        <f>VLOOKUP($C8,Batting!$B$44:$BZ$75,65,0)</f>
        <v>0</v>
      </c>
      <c r="W8" s="404">
        <f>VLOOKUP($C8,Batting!$B$44:$BZ$75,68,0)</f>
        <v>0</v>
      </c>
      <c r="X8" s="404">
        <f>VLOOKUP($C8,Batting!$B$44:$BZ$75,71,0)</f>
        <v>0</v>
      </c>
      <c r="Y8" s="404">
        <f>VLOOKUP($C8,Batting!$B$44:$BZ$75,74,0)</f>
        <v>0</v>
      </c>
      <c r="Z8" s="405">
        <f>VLOOKUP($C8,Batting!$B$44:$BZ$75,77,0)</f>
        <v>0</v>
      </c>
      <c r="AA8" s="403">
        <f>_xlfn.IFNA(VLOOKUP($C8,Bowling!$B$39:$DX$66,24,0),0)</f>
        <v>0</v>
      </c>
      <c r="AB8" s="404">
        <f>_xlfn.IFNA(VLOOKUP($C8,Bowling!$B$39:$DX$66,29,0),0)</f>
        <v>0</v>
      </c>
      <c r="AC8" s="404">
        <f>_xlfn.IFNA(VLOOKUP($C8,Bowling!$B$39:$DX$66,34,0),0)</f>
        <v>-3.2</v>
      </c>
      <c r="AD8" s="404">
        <f>_xlfn.IFNA(VLOOKUP($C8,Bowling!$B$39:$DX$66,39,0),0)</f>
        <v>0</v>
      </c>
      <c r="AE8" s="404">
        <f>_xlfn.IFNA(VLOOKUP($C8,Bowling!$B$39:$DX$66,44,0),0)</f>
        <v>-8</v>
      </c>
      <c r="AF8" s="404">
        <f>_xlfn.IFNA(VLOOKUP($C8,Bowling!$B$39:$DX$66,49,0),0)</f>
        <v>0</v>
      </c>
      <c r="AG8" s="404">
        <f>_xlfn.IFNA(VLOOKUP($C8,Bowling!$B$39:$DX$66,54,0),0)</f>
        <v>37.4</v>
      </c>
      <c r="AH8" s="404">
        <f>_xlfn.IFNA(VLOOKUP($C8,Bowling!$B$39:$DX$66,59,0),0)</f>
        <v>0</v>
      </c>
      <c r="AI8" s="404">
        <f>_xlfn.IFNA(VLOOKUP($C8,Bowling!$B$39:$DX$66,64,0),0)</f>
        <v>28</v>
      </c>
      <c r="AJ8" s="404">
        <f>_xlfn.IFNA(VLOOKUP($C8,Bowling!$B$39:$DX$66,69,0),0)</f>
        <v>0</v>
      </c>
      <c r="AK8" s="404">
        <f>_xlfn.IFNA(VLOOKUP($C8,Bowling!$B$39:$DX$66,74,0),0)</f>
        <v>0</v>
      </c>
      <c r="AL8" s="404">
        <f>_xlfn.IFNA(VLOOKUP($C8,Bowling!$B$39:$DX$66,79,0),0)</f>
        <v>30.6</v>
      </c>
      <c r="AM8" s="404">
        <f>_xlfn.IFNA(VLOOKUP($C8,Bowling!$B$39:$DX$66,84,0),0)</f>
        <v>0</v>
      </c>
      <c r="AN8" s="404">
        <f>_xlfn.IFNA(VLOOKUP($C8,Bowling!$B$39:$DX$66,89,0),0)</f>
        <v>56.2</v>
      </c>
      <c r="AO8" s="404">
        <f>_xlfn.IFNA(VLOOKUP($C8,Bowling!$B$39:$DX$66,94,0),0)</f>
        <v>0</v>
      </c>
      <c r="AP8" s="404">
        <f>_xlfn.IFNA(VLOOKUP($C8,Bowling!$B$39:$DX$66,99,0),0)</f>
        <v>-5.2</v>
      </c>
      <c r="AQ8" s="404">
        <f>_xlfn.IFNA(VLOOKUP($C8,Bowling!$B$39:$DX$66,104,0),0)</f>
        <v>34.200000000000003</v>
      </c>
      <c r="AR8" s="404">
        <f>_xlfn.IFNA(VLOOKUP($C8,Bowling!$B$39:$DX$66,109,0),0)</f>
        <v>0</v>
      </c>
      <c r="AS8" s="404">
        <f>_xlfn.IFNA(VLOOKUP($C8,Bowling!$B$39:$DX$66,114,0),0)</f>
        <v>0</v>
      </c>
      <c r="AT8" s="404">
        <f>_xlfn.IFNA(VLOOKUP($C8,Bowling!$B$39:$DX$66,119,0),0)</f>
        <v>0</v>
      </c>
      <c r="AU8" s="405">
        <f>_xlfn.IFNA(VLOOKUP($C8,Bowling!$B$39:$DX$66,124,0),0)</f>
        <v>0</v>
      </c>
      <c r="AV8" s="403">
        <f>_xlfn.IFNA(VLOOKUP($C8,Fielding!$B$23:$CN$36,8,0),0)</f>
        <v>0</v>
      </c>
      <c r="AW8" s="404">
        <f>_xlfn.IFNA(VLOOKUP($C8,Fielding!$B$23:$CN$36,12,0),0)</f>
        <v>0</v>
      </c>
      <c r="AX8" s="404">
        <f>_xlfn.IFNA(VLOOKUP($C8,Fielding!$B$23:$CN$36,16,0),0)</f>
        <v>0</v>
      </c>
      <c r="AY8" s="404">
        <f>_xlfn.IFNA(VLOOKUP($C8,Fielding!$B$23:$CN$36,20,0),0)</f>
        <v>0</v>
      </c>
      <c r="AZ8" s="404">
        <f>_xlfn.IFNA(VLOOKUP($C8,Fielding!$B$23:$CN$36,24,0),0)</f>
        <v>0</v>
      </c>
      <c r="BA8" s="404">
        <f>_xlfn.IFNA(VLOOKUP($C8,Fielding!$B$23:$CN$36,28,0),0)</f>
        <v>0</v>
      </c>
      <c r="BB8" s="404">
        <f>_xlfn.IFNA(VLOOKUP($C8,Fielding!$B$23:$CN$36,32,0),0)</f>
        <v>0</v>
      </c>
      <c r="BC8" s="404">
        <f>_xlfn.IFNA(VLOOKUP($C8,Fielding!$B$23:$CN$36,36,0),0)</f>
        <v>0</v>
      </c>
      <c r="BD8" s="404">
        <f>_xlfn.IFNA(VLOOKUP($C8,Fielding!$B$23:$CN$36,40,0),0)</f>
        <v>0</v>
      </c>
      <c r="BE8" s="404">
        <f>_xlfn.IFNA(VLOOKUP($C8,Fielding!$B$23:$CN$36,44,0),0)</f>
        <v>0</v>
      </c>
      <c r="BF8" s="404">
        <f>_xlfn.IFNA(VLOOKUP($C8,Fielding!$B$23:$CN$36,48,0),0)</f>
        <v>0</v>
      </c>
      <c r="BG8" s="404">
        <f>_xlfn.IFNA(VLOOKUP($C8,Fielding!$B$23:$CN$36,52,0),0)</f>
        <v>0</v>
      </c>
      <c r="BH8" s="404">
        <f>_xlfn.IFNA(VLOOKUP($C8,Fielding!$B$23:$CN$36,56,0),0)</f>
        <v>0</v>
      </c>
      <c r="BI8" s="404">
        <f>_xlfn.IFNA(VLOOKUP($C8,Fielding!$B$23:$CN$36,60,0),0)</f>
        <v>0</v>
      </c>
      <c r="BJ8" s="404">
        <f>_xlfn.IFNA(VLOOKUP($C8,Fielding!$B$23:$CN$36,64,0),0)</f>
        <v>0</v>
      </c>
      <c r="BK8" s="404">
        <f>_xlfn.IFNA(VLOOKUP($C8,Fielding!$B$23:$CN$36,68,0),0)</f>
        <v>0</v>
      </c>
      <c r="BL8" s="404">
        <f>_xlfn.IFNA(VLOOKUP($C8,Fielding!$B$23:$CN$36,72,0),0)</f>
        <v>0</v>
      </c>
      <c r="BM8" s="404">
        <f>_xlfn.IFNA(VLOOKUP($C8,Fielding!$B$23:$CN$36,76,0),0)</f>
        <v>0</v>
      </c>
      <c r="BN8" s="404">
        <f>_xlfn.IFNA(VLOOKUP($C8,Fielding!$B$23:$CN$36,80,0),0)</f>
        <v>0</v>
      </c>
      <c r="BO8" s="404">
        <f>_xlfn.IFNA(VLOOKUP($C8,Fielding!$B$23:$CN$36,84,0),0)</f>
        <v>0</v>
      </c>
      <c r="BP8" s="405">
        <f>_xlfn.IFNA(VLOOKUP($C8,Fielding!$B$23:$CN$36,88,0),0)</f>
        <v>0</v>
      </c>
      <c r="BQ8" s="403">
        <f t="shared" si="0"/>
        <v>0</v>
      </c>
      <c r="BR8" s="404">
        <f t="shared" si="1"/>
        <v>0</v>
      </c>
      <c r="BS8" s="404">
        <f t="shared" si="2"/>
        <v>14.8</v>
      </c>
      <c r="BT8" s="404">
        <f t="shared" si="3"/>
        <v>0</v>
      </c>
      <c r="BU8" s="404">
        <f t="shared" si="4"/>
        <v>0</v>
      </c>
      <c r="BV8" s="404">
        <f t="shared" si="5"/>
        <v>0</v>
      </c>
      <c r="BW8" s="404">
        <f t="shared" si="6"/>
        <v>30.4</v>
      </c>
      <c r="BX8" s="404">
        <f t="shared" si="7"/>
        <v>0</v>
      </c>
      <c r="BY8" s="404">
        <f t="shared" si="8"/>
        <v>37</v>
      </c>
      <c r="BZ8" s="404">
        <f t="shared" si="9"/>
        <v>0</v>
      </c>
      <c r="CA8" s="404">
        <f t="shared" si="10"/>
        <v>0</v>
      </c>
      <c r="CB8" s="404">
        <f t="shared" si="11"/>
        <v>45.6</v>
      </c>
      <c r="CC8" s="404">
        <f t="shared" si="12"/>
        <v>0</v>
      </c>
      <c r="CD8" s="404">
        <f t="shared" si="13"/>
        <v>79.2</v>
      </c>
      <c r="CE8" s="404">
        <f t="shared" si="14"/>
        <v>0</v>
      </c>
      <c r="CF8" s="404">
        <f t="shared" si="15"/>
        <v>3.8</v>
      </c>
      <c r="CG8" s="404">
        <f t="shared" si="16"/>
        <v>34.200000000000003</v>
      </c>
      <c r="CH8" s="404">
        <f t="shared" si="17"/>
        <v>0</v>
      </c>
      <c r="CI8" s="404">
        <f t="shared" si="18"/>
        <v>0</v>
      </c>
      <c r="CJ8" s="404">
        <f t="shared" si="19"/>
        <v>0</v>
      </c>
      <c r="CK8" s="405">
        <f t="shared" si="20"/>
        <v>0</v>
      </c>
      <c r="CL8" s="403">
        <f t="shared" si="44"/>
        <v>0</v>
      </c>
      <c r="CM8" s="404">
        <f t="shared" si="45"/>
        <v>0</v>
      </c>
      <c r="CN8" s="404">
        <f t="shared" si="46"/>
        <v>14.8</v>
      </c>
      <c r="CO8" s="404">
        <f t="shared" si="47"/>
        <v>14.8</v>
      </c>
      <c r="CP8" s="404">
        <f t="shared" si="48"/>
        <v>14.8</v>
      </c>
      <c r="CQ8" s="404">
        <f t="shared" si="49"/>
        <v>14.8</v>
      </c>
      <c r="CR8" s="404">
        <f t="shared" si="50"/>
        <v>45.2</v>
      </c>
      <c r="CS8" s="404">
        <f t="shared" si="51"/>
        <v>45.2</v>
      </c>
      <c r="CT8" s="404">
        <f t="shared" si="52"/>
        <v>82.2</v>
      </c>
      <c r="CU8" s="404">
        <f t="shared" si="53"/>
        <v>82.2</v>
      </c>
      <c r="CV8" s="404">
        <f t="shared" si="54"/>
        <v>82.2</v>
      </c>
      <c r="CW8" s="404">
        <f t="shared" si="55"/>
        <v>127.80000000000001</v>
      </c>
      <c r="CX8" s="404">
        <f t="shared" si="56"/>
        <v>127.80000000000001</v>
      </c>
      <c r="CY8" s="404">
        <f t="shared" si="57"/>
        <v>207</v>
      </c>
      <c r="CZ8" s="404">
        <f t="shared" si="58"/>
        <v>207</v>
      </c>
      <c r="DA8" s="404">
        <f t="shared" si="59"/>
        <v>210.8</v>
      </c>
      <c r="DB8" s="404">
        <f t="shared" si="60"/>
        <v>245</v>
      </c>
      <c r="DC8" s="404">
        <f t="shared" si="61"/>
        <v>245</v>
      </c>
      <c r="DD8" s="404">
        <f t="shared" si="62"/>
        <v>245</v>
      </c>
      <c r="DE8" s="404">
        <f t="shared" si="63"/>
        <v>245</v>
      </c>
      <c r="DF8" s="405">
        <f t="shared" si="64"/>
        <v>245</v>
      </c>
      <c r="DG8" s="414" t="str">
        <f t="shared" si="22"/>
        <v>-</v>
      </c>
      <c r="DH8" s="415" t="str">
        <f t="shared" si="23"/>
        <v>-</v>
      </c>
      <c r="DI8" s="415">
        <f t="shared" si="24"/>
        <v>5</v>
      </c>
      <c r="DJ8" s="415">
        <f t="shared" si="25"/>
        <v>9</v>
      </c>
      <c r="DK8" s="415">
        <f t="shared" si="26"/>
        <v>10</v>
      </c>
      <c r="DL8" s="415">
        <f t="shared" si="27"/>
        <v>10</v>
      </c>
      <c r="DM8" s="415">
        <f t="shared" si="28"/>
        <v>10</v>
      </c>
      <c r="DN8" s="415">
        <f t="shared" si="29"/>
        <v>10</v>
      </c>
      <c r="DO8" s="415">
        <f t="shared" si="30"/>
        <v>7</v>
      </c>
      <c r="DP8" s="415">
        <f t="shared" si="31"/>
        <v>7</v>
      </c>
      <c r="DQ8" s="415">
        <f t="shared" si="32"/>
        <v>8</v>
      </c>
      <c r="DR8" s="415">
        <f t="shared" si="33"/>
        <v>6</v>
      </c>
      <c r="DS8" s="415">
        <f t="shared" si="34"/>
        <v>6</v>
      </c>
      <c r="DT8" s="415">
        <f t="shared" si="35"/>
        <v>5</v>
      </c>
      <c r="DU8" s="415">
        <f t="shared" si="36"/>
        <v>5</v>
      </c>
      <c r="DV8" s="415">
        <f t="shared" si="37"/>
        <v>6</v>
      </c>
      <c r="DW8" s="415">
        <f t="shared" si="38"/>
        <v>6</v>
      </c>
      <c r="DX8" s="415">
        <f t="shared" si="39"/>
        <v>6</v>
      </c>
      <c r="DY8" s="415">
        <f t="shared" si="40"/>
        <v>6</v>
      </c>
      <c r="DZ8" s="415">
        <f t="shared" si="41"/>
        <v>6</v>
      </c>
      <c r="EA8" s="416">
        <f t="shared" si="42"/>
        <v>6</v>
      </c>
    </row>
    <row r="9" spans="1:131" x14ac:dyDescent="0.2">
      <c r="A9" s="119"/>
      <c r="B9" s="157">
        <f t="shared" si="43"/>
        <v>7</v>
      </c>
      <c r="C9" s="158" t="s">
        <v>44</v>
      </c>
      <c r="D9" s="159" t="s">
        <v>189</v>
      </c>
      <c r="E9" s="409">
        <f>IF(ISNA(VLOOKUP($C9,Batting!$B$5:$M$103,3,FALSE)),0,(VLOOKUP($C9,Batting!$B$5:$M$103,3,FALSE)))</f>
        <v>13</v>
      </c>
      <c r="F9" s="403">
        <f>VLOOKUP($C9,Batting!$B$44:$BZ$75,17,0)</f>
        <v>0</v>
      </c>
      <c r="G9" s="404">
        <f>VLOOKUP($C9,Batting!$B$44:$BZ$75,20,0)</f>
        <v>0</v>
      </c>
      <c r="H9" s="404">
        <f>VLOOKUP($C9,Batting!$B$44:$BZ$75,23,0)</f>
        <v>10</v>
      </c>
      <c r="I9" s="404">
        <f>VLOOKUP($C9,Batting!$B$44:$BZ$75,26,0)</f>
        <v>7</v>
      </c>
      <c r="J9" s="404">
        <f>VLOOKUP($C9,Batting!$B$44:$BZ$75,29,0)</f>
        <v>0</v>
      </c>
      <c r="K9" s="404">
        <f>VLOOKUP($C9,Batting!$B$44:$BZ$75,32,0)</f>
        <v>0</v>
      </c>
      <c r="L9" s="404">
        <f>VLOOKUP($C9,Batting!$B$44:$BZ$75,35,0)</f>
        <v>15</v>
      </c>
      <c r="M9" s="404">
        <f>VLOOKUP($C9,Batting!$B$44:$BZ$75,38,0)</f>
        <v>15</v>
      </c>
      <c r="N9" s="404">
        <f>VLOOKUP($C9,Batting!$B$44:$BZ$75,41,0)</f>
        <v>1</v>
      </c>
      <c r="O9" s="404">
        <f>VLOOKUP($C9,Batting!$B$44:$BZ$75,44,0)</f>
        <v>4</v>
      </c>
      <c r="P9" s="404">
        <f>VLOOKUP($C9,Batting!$B$44:$BZ$75,47,0)</f>
        <v>14</v>
      </c>
      <c r="Q9" s="404">
        <f>VLOOKUP($C9,Batting!$B$44:$BZ$75,50,0)</f>
        <v>0</v>
      </c>
      <c r="R9" s="404">
        <f>VLOOKUP($C9,Batting!$B$44:$BZ$75,53,0)</f>
        <v>0</v>
      </c>
      <c r="S9" s="404">
        <f>VLOOKUP($C9,Batting!$B$44:$BZ$75,56,0)</f>
        <v>0</v>
      </c>
      <c r="T9" s="404">
        <f>VLOOKUP($C9,Batting!$B$44:$BZ$75,59,0)</f>
        <v>0</v>
      </c>
      <c r="U9" s="404">
        <f>VLOOKUP($C9,Batting!$B$44:$BZ$75,62,0)</f>
        <v>0</v>
      </c>
      <c r="V9" s="404">
        <f>VLOOKUP($C9,Batting!$B$44:$BZ$75,65,0)</f>
        <v>16</v>
      </c>
      <c r="W9" s="404">
        <f>VLOOKUP($C9,Batting!$B$44:$BZ$75,68,0)</f>
        <v>0</v>
      </c>
      <c r="X9" s="404">
        <f>VLOOKUP($C9,Batting!$B$44:$BZ$75,71,0)</f>
        <v>-7</v>
      </c>
      <c r="Y9" s="404">
        <f>VLOOKUP($C9,Batting!$B$44:$BZ$75,74,0)</f>
        <v>0</v>
      </c>
      <c r="Z9" s="405">
        <f>VLOOKUP($C9,Batting!$B$44:$BZ$75,77,0)</f>
        <v>0</v>
      </c>
      <c r="AA9" s="403">
        <f>_xlfn.IFNA(VLOOKUP($C9,Bowling!$B$39:$DX$66,24,0),0)</f>
        <v>0</v>
      </c>
      <c r="AB9" s="404">
        <f>_xlfn.IFNA(VLOOKUP($C9,Bowling!$B$39:$DX$66,29,0),0)</f>
        <v>0</v>
      </c>
      <c r="AC9" s="404">
        <f>_xlfn.IFNA(VLOOKUP($C9,Bowling!$B$39:$DX$66,34,0),0)</f>
        <v>0</v>
      </c>
      <c r="AD9" s="404">
        <f>_xlfn.IFNA(VLOOKUP($C9,Bowling!$B$39:$DX$66,39,0),0)</f>
        <v>0</v>
      </c>
      <c r="AE9" s="404">
        <f>_xlfn.IFNA(VLOOKUP($C9,Bowling!$B$39:$DX$66,44,0),0)</f>
        <v>0</v>
      </c>
      <c r="AF9" s="404">
        <f>_xlfn.IFNA(VLOOKUP($C9,Bowling!$B$39:$DX$66,49,0),0)</f>
        <v>0</v>
      </c>
      <c r="AG9" s="404">
        <f>_xlfn.IFNA(VLOOKUP($C9,Bowling!$B$39:$DX$66,54,0),0)</f>
        <v>0</v>
      </c>
      <c r="AH9" s="404">
        <f>_xlfn.IFNA(VLOOKUP($C9,Bowling!$B$39:$DX$66,59,0),0)</f>
        <v>0</v>
      </c>
      <c r="AI9" s="404">
        <f>_xlfn.IFNA(VLOOKUP($C9,Bowling!$B$39:$DX$66,64,0),0)</f>
        <v>0</v>
      </c>
      <c r="AJ9" s="404">
        <f>_xlfn.IFNA(VLOOKUP($C9,Bowling!$B$39:$DX$66,69,0),0)</f>
        <v>-0.8</v>
      </c>
      <c r="AK9" s="404">
        <f>_xlfn.IFNA(VLOOKUP($C9,Bowling!$B$39:$DX$66,74,0),0)</f>
        <v>0</v>
      </c>
      <c r="AL9" s="404">
        <f>_xlfn.IFNA(VLOOKUP($C9,Bowling!$B$39:$DX$66,79,0),0)</f>
        <v>0</v>
      </c>
      <c r="AM9" s="404">
        <f>_xlfn.IFNA(VLOOKUP($C9,Bowling!$B$39:$DX$66,84,0),0)</f>
        <v>0</v>
      </c>
      <c r="AN9" s="404">
        <f>_xlfn.IFNA(VLOOKUP($C9,Bowling!$B$39:$DX$66,89,0),0)</f>
        <v>0</v>
      </c>
      <c r="AO9" s="404">
        <f>_xlfn.IFNA(VLOOKUP($C9,Bowling!$B$39:$DX$66,94,0),0)</f>
        <v>0</v>
      </c>
      <c r="AP9" s="404">
        <f>_xlfn.IFNA(VLOOKUP($C9,Bowling!$B$39:$DX$66,99,0),0)</f>
        <v>0</v>
      </c>
      <c r="AQ9" s="404">
        <f>_xlfn.IFNA(VLOOKUP($C9,Bowling!$B$39:$DX$66,104,0),0)</f>
        <v>0</v>
      </c>
      <c r="AR9" s="404">
        <f>_xlfn.IFNA(VLOOKUP($C9,Bowling!$B$39:$DX$66,109,0),0)</f>
        <v>0</v>
      </c>
      <c r="AS9" s="404">
        <f>_xlfn.IFNA(VLOOKUP($C9,Bowling!$B$39:$DX$66,114,0),0)</f>
        <v>0</v>
      </c>
      <c r="AT9" s="404">
        <f>_xlfn.IFNA(VLOOKUP($C9,Bowling!$B$39:$DX$66,119,0),0)</f>
        <v>0</v>
      </c>
      <c r="AU9" s="405">
        <f>_xlfn.IFNA(VLOOKUP($C9,Bowling!$B$39:$DX$66,124,0),0)</f>
        <v>0</v>
      </c>
      <c r="AV9" s="403">
        <f>_xlfn.IFNA(VLOOKUP($C9,Fielding!$B$23:$CN$36,8,0),0)</f>
        <v>0</v>
      </c>
      <c r="AW9" s="404">
        <f>_xlfn.IFNA(VLOOKUP($C9,Fielding!$B$23:$CN$36,12,0),0)</f>
        <v>0</v>
      </c>
      <c r="AX9" s="404">
        <f>_xlfn.IFNA(VLOOKUP($C9,Fielding!$B$23:$CN$36,16,0),0)</f>
        <v>0</v>
      </c>
      <c r="AY9" s="404">
        <f>_xlfn.IFNA(VLOOKUP($C9,Fielding!$B$23:$CN$36,20,0),0)</f>
        <v>12</v>
      </c>
      <c r="AZ9" s="404">
        <f>_xlfn.IFNA(VLOOKUP($C9,Fielding!$B$23:$CN$36,24,0),0)</f>
        <v>8</v>
      </c>
      <c r="BA9" s="404">
        <f>_xlfn.IFNA(VLOOKUP($C9,Fielding!$B$23:$CN$36,28,0),0)</f>
        <v>0</v>
      </c>
      <c r="BB9" s="404">
        <f>_xlfn.IFNA(VLOOKUP($C9,Fielding!$B$23:$CN$36,32,0),0)</f>
        <v>8</v>
      </c>
      <c r="BC9" s="404">
        <f>_xlfn.IFNA(VLOOKUP($C9,Fielding!$B$23:$CN$36,36,0),0)</f>
        <v>0</v>
      </c>
      <c r="BD9" s="404">
        <f>_xlfn.IFNA(VLOOKUP($C9,Fielding!$B$23:$CN$36,40,0),0)</f>
        <v>0</v>
      </c>
      <c r="BE9" s="404">
        <f>_xlfn.IFNA(VLOOKUP($C9,Fielding!$B$23:$CN$36,44,0),0)</f>
        <v>0</v>
      </c>
      <c r="BF9" s="404">
        <f>_xlfn.IFNA(VLOOKUP($C9,Fielding!$B$23:$CN$36,48,0),0)</f>
        <v>0</v>
      </c>
      <c r="BG9" s="404">
        <f>_xlfn.IFNA(VLOOKUP($C9,Fielding!$B$23:$CN$36,52,0),0)</f>
        <v>8</v>
      </c>
      <c r="BH9" s="404">
        <f>_xlfn.IFNA(VLOOKUP($C9,Fielding!$B$23:$CN$36,56,0),0)</f>
        <v>0</v>
      </c>
      <c r="BI9" s="404">
        <f>_xlfn.IFNA(VLOOKUP($C9,Fielding!$B$23:$CN$36,60,0),0)</f>
        <v>8</v>
      </c>
      <c r="BJ9" s="404">
        <f>_xlfn.IFNA(VLOOKUP($C9,Fielding!$B$23:$CN$36,64,0),0)</f>
        <v>0</v>
      </c>
      <c r="BK9" s="404">
        <f>_xlfn.IFNA(VLOOKUP($C9,Fielding!$B$23:$CN$36,68,0),0)</f>
        <v>0</v>
      </c>
      <c r="BL9" s="404">
        <f>_xlfn.IFNA(VLOOKUP($C9,Fielding!$B$23:$CN$36,72,0),0)</f>
        <v>8</v>
      </c>
      <c r="BM9" s="404">
        <f>_xlfn.IFNA(VLOOKUP($C9,Fielding!$B$23:$CN$36,76,0),0)</f>
        <v>8</v>
      </c>
      <c r="BN9" s="404">
        <f>_xlfn.IFNA(VLOOKUP($C9,Fielding!$B$23:$CN$36,80,0),0)</f>
        <v>8</v>
      </c>
      <c r="BO9" s="404">
        <f>_xlfn.IFNA(VLOOKUP($C9,Fielding!$B$23:$CN$36,84,0),0)</f>
        <v>0</v>
      </c>
      <c r="BP9" s="405">
        <f>_xlfn.IFNA(VLOOKUP($C9,Fielding!$B$23:$CN$36,88,0),0)</f>
        <v>0</v>
      </c>
      <c r="BQ9" s="403">
        <f t="shared" si="0"/>
        <v>0</v>
      </c>
      <c r="BR9" s="404">
        <f t="shared" si="1"/>
        <v>0</v>
      </c>
      <c r="BS9" s="404">
        <f t="shared" si="2"/>
        <v>10</v>
      </c>
      <c r="BT9" s="404">
        <f t="shared" si="3"/>
        <v>19</v>
      </c>
      <c r="BU9" s="404">
        <f t="shared" si="4"/>
        <v>8</v>
      </c>
      <c r="BV9" s="404">
        <f t="shared" si="5"/>
        <v>0</v>
      </c>
      <c r="BW9" s="404">
        <f t="shared" si="6"/>
        <v>23</v>
      </c>
      <c r="BX9" s="404">
        <f t="shared" si="7"/>
        <v>15</v>
      </c>
      <c r="BY9" s="404">
        <f t="shared" si="8"/>
        <v>1</v>
      </c>
      <c r="BZ9" s="404">
        <f t="shared" si="9"/>
        <v>3.2</v>
      </c>
      <c r="CA9" s="404">
        <f t="shared" si="10"/>
        <v>14</v>
      </c>
      <c r="CB9" s="404">
        <f t="shared" si="11"/>
        <v>8</v>
      </c>
      <c r="CC9" s="404">
        <f t="shared" si="12"/>
        <v>0</v>
      </c>
      <c r="CD9" s="404">
        <f t="shared" si="13"/>
        <v>8</v>
      </c>
      <c r="CE9" s="404">
        <f t="shared" si="14"/>
        <v>0</v>
      </c>
      <c r="CF9" s="404">
        <f t="shared" si="15"/>
        <v>0</v>
      </c>
      <c r="CG9" s="404">
        <f t="shared" si="16"/>
        <v>24</v>
      </c>
      <c r="CH9" s="404">
        <f t="shared" si="17"/>
        <v>8</v>
      </c>
      <c r="CI9" s="404">
        <f t="shared" si="18"/>
        <v>1</v>
      </c>
      <c r="CJ9" s="404">
        <f t="shared" si="19"/>
        <v>0</v>
      </c>
      <c r="CK9" s="405">
        <f t="shared" si="20"/>
        <v>0</v>
      </c>
      <c r="CL9" s="403">
        <f t="shared" si="44"/>
        <v>0</v>
      </c>
      <c r="CM9" s="404">
        <f t="shared" si="45"/>
        <v>0</v>
      </c>
      <c r="CN9" s="404">
        <f t="shared" si="46"/>
        <v>10</v>
      </c>
      <c r="CO9" s="404">
        <f t="shared" si="47"/>
        <v>29</v>
      </c>
      <c r="CP9" s="404">
        <f t="shared" si="48"/>
        <v>37</v>
      </c>
      <c r="CQ9" s="404">
        <f t="shared" si="49"/>
        <v>37</v>
      </c>
      <c r="CR9" s="404">
        <f t="shared" si="50"/>
        <v>60</v>
      </c>
      <c r="CS9" s="404">
        <f t="shared" si="51"/>
        <v>75</v>
      </c>
      <c r="CT9" s="404">
        <f t="shared" si="52"/>
        <v>76</v>
      </c>
      <c r="CU9" s="404">
        <f t="shared" si="53"/>
        <v>79.2</v>
      </c>
      <c r="CV9" s="404">
        <f t="shared" si="54"/>
        <v>93.2</v>
      </c>
      <c r="CW9" s="404">
        <f t="shared" si="55"/>
        <v>101.2</v>
      </c>
      <c r="CX9" s="404">
        <f t="shared" si="56"/>
        <v>101.2</v>
      </c>
      <c r="CY9" s="404">
        <f t="shared" si="57"/>
        <v>109.2</v>
      </c>
      <c r="CZ9" s="404">
        <f t="shared" si="58"/>
        <v>109.2</v>
      </c>
      <c r="DA9" s="404">
        <f t="shared" si="59"/>
        <v>109.2</v>
      </c>
      <c r="DB9" s="404">
        <f t="shared" si="60"/>
        <v>133.19999999999999</v>
      </c>
      <c r="DC9" s="404">
        <f t="shared" si="61"/>
        <v>141.19999999999999</v>
      </c>
      <c r="DD9" s="404">
        <f t="shared" si="62"/>
        <v>142.19999999999999</v>
      </c>
      <c r="DE9" s="404">
        <f t="shared" si="63"/>
        <v>142.19999999999999</v>
      </c>
      <c r="DF9" s="405">
        <f t="shared" si="64"/>
        <v>142.19999999999999</v>
      </c>
      <c r="DG9" s="414" t="str">
        <f t="shared" si="22"/>
        <v>-</v>
      </c>
      <c r="DH9" s="415" t="str">
        <f t="shared" si="23"/>
        <v>-</v>
      </c>
      <c r="DI9" s="415">
        <f t="shared" si="24"/>
        <v>7</v>
      </c>
      <c r="DJ9" s="415">
        <f t="shared" si="25"/>
        <v>8</v>
      </c>
      <c r="DK9" s="415">
        <f t="shared" si="26"/>
        <v>9</v>
      </c>
      <c r="DL9" s="415">
        <f t="shared" si="27"/>
        <v>9</v>
      </c>
      <c r="DM9" s="415">
        <f t="shared" si="28"/>
        <v>7</v>
      </c>
      <c r="DN9" s="415">
        <f t="shared" si="29"/>
        <v>7</v>
      </c>
      <c r="DO9" s="415">
        <f t="shared" si="30"/>
        <v>8</v>
      </c>
      <c r="DP9" s="415">
        <f t="shared" si="31"/>
        <v>8</v>
      </c>
      <c r="DQ9" s="415">
        <f t="shared" si="32"/>
        <v>7</v>
      </c>
      <c r="DR9" s="415">
        <f t="shared" si="33"/>
        <v>8</v>
      </c>
      <c r="DS9" s="415">
        <f t="shared" si="34"/>
        <v>8</v>
      </c>
      <c r="DT9" s="415">
        <f t="shared" si="35"/>
        <v>7</v>
      </c>
      <c r="DU9" s="415">
        <f t="shared" si="36"/>
        <v>7</v>
      </c>
      <c r="DV9" s="415">
        <f t="shared" si="37"/>
        <v>7</v>
      </c>
      <c r="DW9" s="415">
        <f t="shared" si="38"/>
        <v>7</v>
      </c>
      <c r="DX9" s="415">
        <f t="shared" si="39"/>
        <v>7</v>
      </c>
      <c r="DY9" s="415">
        <f t="shared" si="40"/>
        <v>7</v>
      </c>
      <c r="DZ9" s="415">
        <f t="shared" si="41"/>
        <v>7</v>
      </c>
      <c r="EA9" s="416">
        <f t="shared" si="42"/>
        <v>7</v>
      </c>
    </row>
    <row r="10" spans="1:131" x14ac:dyDescent="0.2">
      <c r="A10" s="119"/>
      <c r="B10" s="157">
        <f t="shared" si="43"/>
        <v>8</v>
      </c>
      <c r="C10" s="158" t="s">
        <v>215</v>
      </c>
      <c r="D10" s="159" t="s">
        <v>189</v>
      </c>
      <c r="E10" s="409">
        <f>IF(ISNA(VLOOKUP($C10,Batting!$B$5:$M$103,3,FALSE)),0,(VLOOKUP($C10,Batting!$B$5:$M$103,3,FALSE)))</f>
        <v>2</v>
      </c>
      <c r="F10" s="403">
        <f>VLOOKUP($C10,Batting!$B$44:$BZ$75,17,0)</f>
        <v>0</v>
      </c>
      <c r="G10" s="404">
        <f>VLOOKUP($C10,Batting!$B$44:$BZ$75,20,0)</f>
        <v>0</v>
      </c>
      <c r="H10" s="404">
        <f>VLOOKUP($C10,Batting!$B$44:$BZ$75,23,0)</f>
        <v>0</v>
      </c>
      <c r="I10" s="404">
        <f>VLOOKUP($C10,Batting!$B$44:$BZ$75,26,0)</f>
        <v>0</v>
      </c>
      <c r="J10" s="404">
        <f>VLOOKUP($C10,Batting!$B$44:$BZ$75,29,0)</f>
        <v>48</v>
      </c>
      <c r="K10" s="404">
        <f>VLOOKUP($C10,Batting!$B$44:$BZ$75,32,0)</f>
        <v>0</v>
      </c>
      <c r="L10" s="404">
        <f>VLOOKUP($C10,Batting!$B$44:$BZ$75,35,0)</f>
        <v>-7</v>
      </c>
      <c r="M10" s="404">
        <f>VLOOKUP($C10,Batting!$B$44:$BZ$75,38,0)</f>
        <v>0</v>
      </c>
      <c r="N10" s="404">
        <f>VLOOKUP($C10,Batting!$B$44:$BZ$75,41,0)</f>
        <v>0</v>
      </c>
      <c r="O10" s="404">
        <f>VLOOKUP($C10,Batting!$B$44:$BZ$75,44,0)</f>
        <v>0</v>
      </c>
      <c r="P10" s="404">
        <f>VLOOKUP($C10,Batting!$B$44:$BZ$75,47,0)</f>
        <v>0</v>
      </c>
      <c r="Q10" s="404">
        <f>VLOOKUP($C10,Batting!$B$44:$BZ$75,50,0)</f>
        <v>0</v>
      </c>
      <c r="R10" s="404">
        <f>VLOOKUP($C10,Batting!$B$44:$BZ$75,53,0)</f>
        <v>0</v>
      </c>
      <c r="S10" s="404">
        <f>VLOOKUP($C10,Batting!$B$44:$BZ$75,56,0)</f>
        <v>0</v>
      </c>
      <c r="T10" s="404">
        <f>VLOOKUP($C10,Batting!$B$44:$BZ$75,59,0)</f>
        <v>0</v>
      </c>
      <c r="U10" s="404">
        <f>VLOOKUP($C10,Batting!$B$44:$BZ$75,62,0)</f>
        <v>0</v>
      </c>
      <c r="V10" s="404">
        <f>VLOOKUP($C10,Batting!$B$44:$BZ$75,65,0)</f>
        <v>0</v>
      </c>
      <c r="W10" s="404">
        <f>VLOOKUP($C10,Batting!$B$44:$BZ$75,68,0)</f>
        <v>0</v>
      </c>
      <c r="X10" s="404">
        <f>VLOOKUP($C10,Batting!$B$44:$BZ$75,71,0)</f>
        <v>0</v>
      </c>
      <c r="Y10" s="404">
        <f>VLOOKUP($C10,Batting!$B$44:$BZ$75,74,0)</f>
        <v>0</v>
      </c>
      <c r="Z10" s="405">
        <f>VLOOKUP($C10,Batting!$B$44:$BZ$75,77,0)</f>
        <v>0</v>
      </c>
      <c r="AA10" s="403">
        <f>_xlfn.IFNA(VLOOKUP($C10,Bowling!$B$39:$DX$66,24,0),0)</f>
        <v>0</v>
      </c>
      <c r="AB10" s="404">
        <f>_xlfn.IFNA(VLOOKUP($C10,Bowling!$B$39:$DX$66,29,0),0)</f>
        <v>0</v>
      </c>
      <c r="AC10" s="404">
        <f>_xlfn.IFNA(VLOOKUP($C10,Bowling!$B$39:$DX$66,34,0),0)</f>
        <v>0</v>
      </c>
      <c r="AD10" s="404">
        <f>_xlfn.IFNA(VLOOKUP($C10,Bowling!$B$39:$DX$66,39,0),0)</f>
        <v>0</v>
      </c>
      <c r="AE10" s="404">
        <f>_xlfn.IFNA(VLOOKUP($C10,Bowling!$B$39:$DX$66,44,0),0)</f>
        <v>29.2</v>
      </c>
      <c r="AF10" s="404">
        <f>_xlfn.IFNA(VLOOKUP($C10,Bowling!$B$39:$DX$66,49,0),0)</f>
        <v>0</v>
      </c>
      <c r="AG10" s="404">
        <f>_xlfn.IFNA(VLOOKUP($C10,Bowling!$B$39:$DX$66,54,0),0)</f>
        <v>19</v>
      </c>
      <c r="AH10" s="404">
        <f>_xlfn.IFNA(VLOOKUP($C10,Bowling!$B$39:$DX$66,59,0),0)</f>
        <v>0</v>
      </c>
      <c r="AI10" s="404">
        <f>_xlfn.IFNA(VLOOKUP($C10,Bowling!$B$39:$DX$66,64,0),0)</f>
        <v>0</v>
      </c>
      <c r="AJ10" s="404">
        <f>_xlfn.IFNA(VLOOKUP($C10,Bowling!$B$39:$DX$66,69,0),0)</f>
        <v>0</v>
      </c>
      <c r="AK10" s="404">
        <f>_xlfn.IFNA(VLOOKUP($C10,Bowling!$B$39:$DX$66,74,0),0)</f>
        <v>0</v>
      </c>
      <c r="AL10" s="404">
        <f>_xlfn.IFNA(VLOOKUP($C10,Bowling!$B$39:$DX$66,79,0),0)</f>
        <v>0</v>
      </c>
      <c r="AM10" s="404">
        <f>_xlfn.IFNA(VLOOKUP($C10,Bowling!$B$39:$DX$66,84,0),0)</f>
        <v>0</v>
      </c>
      <c r="AN10" s="404">
        <f>_xlfn.IFNA(VLOOKUP($C10,Bowling!$B$39:$DX$66,89,0),0)</f>
        <v>0</v>
      </c>
      <c r="AO10" s="404">
        <f>_xlfn.IFNA(VLOOKUP($C10,Bowling!$B$39:$DX$66,94,0),0)</f>
        <v>0</v>
      </c>
      <c r="AP10" s="404">
        <f>_xlfn.IFNA(VLOOKUP($C10,Bowling!$B$39:$DX$66,99,0),0)</f>
        <v>0</v>
      </c>
      <c r="AQ10" s="404">
        <f>_xlfn.IFNA(VLOOKUP($C10,Bowling!$B$39:$DX$66,104,0),0)</f>
        <v>0</v>
      </c>
      <c r="AR10" s="404">
        <f>_xlfn.IFNA(VLOOKUP($C10,Bowling!$B$39:$DX$66,109,0),0)</f>
        <v>0</v>
      </c>
      <c r="AS10" s="404">
        <f>_xlfn.IFNA(VLOOKUP($C10,Bowling!$B$39:$DX$66,114,0),0)</f>
        <v>0</v>
      </c>
      <c r="AT10" s="404">
        <f>_xlfn.IFNA(VLOOKUP($C10,Bowling!$B$39:$DX$66,119,0),0)</f>
        <v>0</v>
      </c>
      <c r="AU10" s="405">
        <f>_xlfn.IFNA(VLOOKUP($C10,Bowling!$B$39:$DX$66,124,0),0)</f>
        <v>0</v>
      </c>
      <c r="AV10" s="403">
        <f>_xlfn.IFNA(VLOOKUP($C10,Fielding!$B$23:$CN$36,8,0),0)</f>
        <v>0</v>
      </c>
      <c r="AW10" s="404">
        <f>_xlfn.IFNA(VLOOKUP($C10,Fielding!$B$23:$CN$36,12,0),0)</f>
        <v>0</v>
      </c>
      <c r="AX10" s="404">
        <f>_xlfn.IFNA(VLOOKUP($C10,Fielding!$B$23:$CN$36,16,0),0)</f>
        <v>0</v>
      </c>
      <c r="AY10" s="404">
        <f>_xlfn.IFNA(VLOOKUP($C10,Fielding!$B$23:$CN$36,20,0),0)</f>
        <v>0</v>
      </c>
      <c r="AZ10" s="404">
        <f>_xlfn.IFNA(VLOOKUP($C10,Fielding!$B$23:$CN$36,24,0),0)</f>
        <v>8</v>
      </c>
      <c r="BA10" s="404">
        <f>_xlfn.IFNA(VLOOKUP($C10,Fielding!$B$23:$CN$36,28,0),0)</f>
        <v>0</v>
      </c>
      <c r="BB10" s="404">
        <f>_xlfn.IFNA(VLOOKUP($C10,Fielding!$B$23:$CN$36,32,0),0)</f>
        <v>8</v>
      </c>
      <c r="BC10" s="404">
        <f>_xlfn.IFNA(VLOOKUP($C10,Fielding!$B$23:$CN$36,36,0),0)</f>
        <v>0</v>
      </c>
      <c r="BD10" s="404">
        <f>_xlfn.IFNA(VLOOKUP($C10,Fielding!$B$23:$CN$36,40,0),0)</f>
        <v>0</v>
      </c>
      <c r="BE10" s="404">
        <f>_xlfn.IFNA(VLOOKUP($C10,Fielding!$B$23:$CN$36,44,0),0)</f>
        <v>0</v>
      </c>
      <c r="BF10" s="404">
        <f>_xlfn.IFNA(VLOOKUP($C10,Fielding!$B$23:$CN$36,48,0),0)</f>
        <v>0</v>
      </c>
      <c r="BG10" s="404">
        <f>_xlfn.IFNA(VLOOKUP($C10,Fielding!$B$23:$CN$36,52,0),0)</f>
        <v>0</v>
      </c>
      <c r="BH10" s="404">
        <f>_xlfn.IFNA(VLOOKUP($C10,Fielding!$B$23:$CN$36,56,0),0)</f>
        <v>0</v>
      </c>
      <c r="BI10" s="404">
        <f>_xlfn.IFNA(VLOOKUP($C10,Fielding!$B$23:$CN$36,60,0),0)</f>
        <v>0</v>
      </c>
      <c r="BJ10" s="404">
        <f>_xlfn.IFNA(VLOOKUP($C10,Fielding!$B$23:$CN$36,64,0),0)</f>
        <v>0</v>
      </c>
      <c r="BK10" s="404">
        <f>_xlfn.IFNA(VLOOKUP($C10,Fielding!$B$23:$CN$36,68,0),0)</f>
        <v>0</v>
      </c>
      <c r="BL10" s="404">
        <f>_xlfn.IFNA(VLOOKUP($C10,Fielding!$B$23:$CN$36,72,0),0)</f>
        <v>0</v>
      </c>
      <c r="BM10" s="404">
        <f>_xlfn.IFNA(VLOOKUP($C10,Fielding!$B$23:$CN$36,76,0),0)</f>
        <v>0</v>
      </c>
      <c r="BN10" s="404">
        <f>_xlfn.IFNA(VLOOKUP($C10,Fielding!$B$23:$CN$36,80,0),0)</f>
        <v>0</v>
      </c>
      <c r="BO10" s="404">
        <f>_xlfn.IFNA(VLOOKUP($C10,Fielding!$B$23:$CN$36,84,0),0)</f>
        <v>0</v>
      </c>
      <c r="BP10" s="405">
        <f>_xlfn.IFNA(VLOOKUP($C10,Fielding!$B$23:$CN$36,88,0),0)</f>
        <v>0</v>
      </c>
      <c r="BQ10" s="403">
        <f t="shared" si="0"/>
        <v>0</v>
      </c>
      <c r="BR10" s="404">
        <f t="shared" si="1"/>
        <v>0</v>
      </c>
      <c r="BS10" s="404">
        <f t="shared" si="2"/>
        <v>0</v>
      </c>
      <c r="BT10" s="404">
        <f t="shared" si="3"/>
        <v>0</v>
      </c>
      <c r="BU10" s="404">
        <f t="shared" si="4"/>
        <v>85.2</v>
      </c>
      <c r="BV10" s="404">
        <f t="shared" si="5"/>
        <v>0</v>
      </c>
      <c r="BW10" s="404">
        <f t="shared" si="6"/>
        <v>20</v>
      </c>
      <c r="BX10" s="404">
        <f t="shared" si="7"/>
        <v>0</v>
      </c>
      <c r="BY10" s="404">
        <f t="shared" si="8"/>
        <v>0</v>
      </c>
      <c r="BZ10" s="404">
        <f t="shared" si="9"/>
        <v>0</v>
      </c>
      <c r="CA10" s="404">
        <f t="shared" si="10"/>
        <v>0</v>
      </c>
      <c r="CB10" s="404">
        <f t="shared" si="11"/>
        <v>0</v>
      </c>
      <c r="CC10" s="404">
        <f t="shared" si="12"/>
        <v>0</v>
      </c>
      <c r="CD10" s="404">
        <f t="shared" si="13"/>
        <v>0</v>
      </c>
      <c r="CE10" s="404">
        <f t="shared" si="14"/>
        <v>0</v>
      </c>
      <c r="CF10" s="404">
        <f t="shared" si="15"/>
        <v>0</v>
      </c>
      <c r="CG10" s="404">
        <f t="shared" si="16"/>
        <v>0</v>
      </c>
      <c r="CH10" s="404">
        <f t="shared" si="17"/>
        <v>0</v>
      </c>
      <c r="CI10" s="404">
        <f t="shared" si="18"/>
        <v>0</v>
      </c>
      <c r="CJ10" s="404">
        <f t="shared" si="19"/>
        <v>0</v>
      </c>
      <c r="CK10" s="405">
        <f t="shared" si="20"/>
        <v>0</v>
      </c>
      <c r="CL10" s="403">
        <f t="shared" si="44"/>
        <v>0</v>
      </c>
      <c r="CM10" s="404">
        <f t="shared" si="45"/>
        <v>0</v>
      </c>
      <c r="CN10" s="404">
        <f t="shared" si="46"/>
        <v>0</v>
      </c>
      <c r="CO10" s="404">
        <f t="shared" si="47"/>
        <v>0</v>
      </c>
      <c r="CP10" s="404">
        <f t="shared" si="48"/>
        <v>85.2</v>
      </c>
      <c r="CQ10" s="404">
        <f t="shared" si="49"/>
        <v>85.2</v>
      </c>
      <c r="CR10" s="404">
        <f t="shared" si="50"/>
        <v>105.2</v>
      </c>
      <c r="CS10" s="404">
        <f t="shared" si="51"/>
        <v>105.2</v>
      </c>
      <c r="CT10" s="404">
        <f t="shared" si="52"/>
        <v>105.2</v>
      </c>
      <c r="CU10" s="404">
        <f t="shared" si="53"/>
        <v>105.2</v>
      </c>
      <c r="CV10" s="404">
        <f t="shared" si="54"/>
        <v>105.2</v>
      </c>
      <c r="CW10" s="404">
        <f t="shared" si="55"/>
        <v>105.2</v>
      </c>
      <c r="CX10" s="404">
        <f t="shared" si="56"/>
        <v>105.2</v>
      </c>
      <c r="CY10" s="404">
        <f t="shared" si="57"/>
        <v>105.2</v>
      </c>
      <c r="CZ10" s="404">
        <f t="shared" si="58"/>
        <v>105.2</v>
      </c>
      <c r="DA10" s="404">
        <f t="shared" si="59"/>
        <v>105.2</v>
      </c>
      <c r="DB10" s="404">
        <f t="shared" si="60"/>
        <v>105.2</v>
      </c>
      <c r="DC10" s="404">
        <f t="shared" si="61"/>
        <v>105.2</v>
      </c>
      <c r="DD10" s="404">
        <f t="shared" si="62"/>
        <v>105.2</v>
      </c>
      <c r="DE10" s="404">
        <f t="shared" si="63"/>
        <v>105.2</v>
      </c>
      <c r="DF10" s="405">
        <f t="shared" si="64"/>
        <v>105.2</v>
      </c>
      <c r="DG10" s="414" t="str">
        <f t="shared" si="22"/>
        <v>-</v>
      </c>
      <c r="DH10" s="415" t="str">
        <f t="shared" si="23"/>
        <v>-</v>
      </c>
      <c r="DI10" s="415" t="str">
        <f t="shared" si="24"/>
        <v>-</v>
      </c>
      <c r="DJ10" s="415" t="str">
        <f t="shared" si="25"/>
        <v>-</v>
      </c>
      <c r="DK10" s="415">
        <f t="shared" si="26"/>
        <v>4</v>
      </c>
      <c r="DL10" s="415">
        <f t="shared" si="27"/>
        <v>4</v>
      </c>
      <c r="DM10" s="415">
        <f t="shared" si="28"/>
        <v>3</v>
      </c>
      <c r="DN10" s="415">
        <f t="shared" si="29"/>
        <v>4</v>
      </c>
      <c r="DO10" s="415">
        <f t="shared" si="30"/>
        <v>6</v>
      </c>
      <c r="DP10" s="415">
        <f t="shared" si="31"/>
        <v>6</v>
      </c>
      <c r="DQ10" s="415">
        <f t="shared" si="32"/>
        <v>6</v>
      </c>
      <c r="DR10" s="415">
        <f t="shared" si="33"/>
        <v>7</v>
      </c>
      <c r="DS10" s="415">
        <f t="shared" si="34"/>
        <v>7</v>
      </c>
      <c r="DT10" s="415">
        <f t="shared" si="35"/>
        <v>8</v>
      </c>
      <c r="DU10" s="415">
        <f t="shared" si="36"/>
        <v>8</v>
      </c>
      <c r="DV10" s="415">
        <f t="shared" si="37"/>
        <v>8</v>
      </c>
      <c r="DW10" s="415">
        <f t="shared" si="38"/>
        <v>8</v>
      </c>
      <c r="DX10" s="415">
        <f t="shared" si="39"/>
        <v>8</v>
      </c>
      <c r="DY10" s="415">
        <f t="shared" si="40"/>
        <v>8</v>
      </c>
      <c r="DZ10" s="415">
        <f t="shared" si="41"/>
        <v>8</v>
      </c>
      <c r="EA10" s="416">
        <f t="shared" si="42"/>
        <v>8</v>
      </c>
    </row>
    <row r="11" spans="1:131" x14ac:dyDescent="0.2">
      <c r="A11" s="119"/>
      <c r="B11" s="157">
        <f t="shared" si="43"/>
        <v>9</v>
      </c>
      <c r="C11" s="158" t="s">
        <v>282</v>
      </c>
      <c r="D11" s="159" t="s">
        <v>222</v>
      </c>
      <c r="E11" s="409">
        <f>IF(ISNA(VLOOKUP($C11,Batting!$B$5:$M$103,3,FALSE)),0,(VLOOKUP($C11,Batting!$B$5:$M$103,3,FALSE)))</f>
        <v>6</v>
      </c>
      <c r="F11" s="403">
        <f>VLOOKUP($C11,Batting!$B$44:$BZ$75,17,0)</f>
        <v>0</v>
      </c>
      <c r="G11" s="404">
        <f>VLOOKUP($C11,Batting!$B$44:$BZ$75,20,0)</f>
        <v>0</v>
      </c>
      <c r="H11" s="404">
        <f>VLOOKUP($C11,Batting!$B$44:$BZ$75,23,0)</f>
        <v>0</v>
      </c>
      <c r="I11" s="404">
        <f>VLOOKUP($C11,Batting!$B$44:$BZ$75,26,0)</f>
        <v>0</v>
      </c>
      <c r="J11" s="404">
        <f>VLOOKUP($C11,Batting!$B$44:$BZ$75,29,0)</f>
        <v>0</v>
      </c>
      <c r="K11" s="404">
        <f>VLOOKUP($C11,Batting!$B$44:$BZ$75,32,0)</f>
        <v>0</v>
      </c>
      <c r="L11" s="404">
        <f>VLOOKUP($C11,Batting!$B$44:$BZ$75,35,0)</f>
        <v>0</v>
      </c>
      <c r="M11" s="404">
        <f>VLOOKUP($C11,Batting!$B$44:$BZ$75,38,0)</f>
        <v>0</v>
      </c>
      <c r="N11" s="404">
        <f>VLOOKUP($C11,Batting!$B$44:$BZ$75,41,0)</f>
        <v>0</v>
      </c>
      <c r="O11" s="404">
        <f>VLOOKUP($C11,Batting!$B$44:$BZ$75,44,0)</f>
        <v>-7</v>
      </c>
      <c r="P11" s="404">
        <f>VLOOKUP($C11,Batting!$B$44:$BZ$75,47,0)</f>
        <v>-3</v>
      </c>
      <c r="Q11" s="404">
        <f>VLOOKUP($C11,Batting!$B$44:$BZ$75,50,0)</f>
        <v>29</v>
      </c>
      <c r="R11" s="404">
        <f>VLOOKUP($C11,Batting!$B$44:$BZ$75,53,0)</f>
        <v>0</v>
      </c>
      <c r="S11" s="404">
        <f>VLOOKUP($C11,Batting!$B$44:$BZ$75,56,0)</f>
        <v>0</v>
      </c>
      <c r="T11" s="404">
        <f>VLOOKUP($C11,Batting!$B$44:$BZ$75,59,0)</f>
        <v>0</v>
      </c>
      <c r="U11" s="404">
        <f>VLOOKUP($C11,Batting!$B$44:$BZ$75,62,0)</f>
        <v>10</v>
      </c>
      <c r="V11" s="404">
        <f>VLOOKUP($C11,Batting!$B$44:$BZ$75,65,0)</f>
        <v>-7</v>
      </c>
      <c r="W11" s="404">
        <f>VLOOKUP($C11,Batting!$B$44:$BZ$75,68,0)</f>
        <v>0</v>
      </c>
      <c r="X11" s="404">
        <f>VLOOKUP($C11,Batting!$B$44:$BZ$75,71,0)</f>
        <v>0</v>
      </c>
      <c r="Y11" s="404">
        <f>VLOOKUP($C11,Batting!$B$44:$BZ$75,74,0)</f>
        <v>0</v>
      </c>
      <c r="Z11" s="405">
        <f>VLOOKUP($C11,Batting!$B$44:$BZ$75,77,0)</f>
        <v>0</v>
      </c>
      <c r="AA11" s="403">
        <f>_xlfn.IFNA(VLOOKUP($C11,Bowling!$B$39:$DX$66,24,0),0)</f>
        <v>0</v>
      </c>
      <c r="AB11" s="404">
        <f>_xlfn.IFNA(VLOOKUP($C11,Bowling!$B$39:$DX$66,29,0),0)</f>
        <v>0</v>
      </c>
      <c r="AC11" s="404">
        <f>_xlfn.IFNA(VLOOKUP($C11,Bowling!$B$39:$DX$66,34,0),0)</f>
        <v>0</v>
      </c>
      <c r="AD11" s="404">
        <f>_xlfn.IFNA(VLOOKUP($C11,Bowling!$B$39:$DX$66,39,0),0)</f>
        <v>0</v>
      </c>
      <c r="AE11" s="404">
        <f>_xlfn.IFNA(VLOOKUP($C11,Bowling!$B$39:$DX$66,44,0),0)</f>
        <v>0</v>
      </c>
      <c r="AF11" s="404">
        <f>_xlfn.IFNA(VLOOKUP($C11,Bowling!$B$39:$DX$66,49,0),0)</f>
        <v>0</v>
      </c>
      <c r="AG11" s="404">
        <f>_xlfn.IFNA(VLOOKUP($C11,Bowling!$B$39:$DX$66,54,0),0)</f>
        <v>0</v>
      </c>
      <c r="AH11" s="404">
        <f>_xlfn.IFNA(VLOOKUP($C11,Bowling!$B$39:$DX$66,59,0),0)</f>
        <v>0</v>
      </c>
      <c r="AI11" s="404">
        <f>_xlfn.IFNA(VLOOKUP($C11,Bowling!$B$39:$DX$66,64,0),0)</f>
        <v>0</v>
      </c>
      <c r="AJ11" s="404">
        <f>_xlfn.IFNA(VLOOKUP($C11,Bowling!$B$39:$DX$66,69,0),0)</f>
        <v>-10.8</v>
      </c>
      <c r="AK11" s="404">
        <f>_xlfn.IFNA(VLOOKUP($C11,Bowling!$B$39:$DX$66,74,0),0)</f>
        <v>-4.4000000000000004</v>
      </c>
      <c r="AL11" s="404">
        <f>_xlfn.IFNA(VLOOKUP($C11,Bowling!$B$39:$DX$66,79,0),0)</f>
        <v>31</v>
      </c>
      <c r="AM11" s="404">
        <f>_xlfn.IFNA(VLOOKUP($C11,Bowling!$B$39:$DX$66,84,0),0)</f>
        <v>0</v>
      </c>
      <c r="AN11" s="404">
        <f>_xlfn.IFNA(VLOOKUP($C11,Bowling!$B$39:$DX$66,89,0),0)</f>
        <v>-3.2</v>
      </c>
      <c r="AO11" s="404">
        <f>_xlfn.IFNA(VLOOKUP($C11,Bowling!$B$39:$DX$66,94,0),0)</f>
        <v>0</v>
      </c>
      <c r="AP11" s="404">
        <f>_xlfn.IFNA(VLOOKUP($C11,Bowling!$B$39:$DX$66,99,0),0)</f>
        <v>36.799999999999997</v>
      </c>
      <c r="AQ11" s="404">
        <f>_xlfn.IFNA(VLOOKUP($C11,Bowling!$B$39:$DX$66,104,0),0)</f>
        <v>0</v>
      </c>
      <c r="AR11" s="404">
        <f>_xlfn.IFNA(VLOOKUP($C11,Bowling!$B$39:$DX$66,109,0),0)</f>
        <v>0</v>
      </c>
      <c r="AS11" s="404">
        <f>_xlfn.IFNA(VLOOKUP($C11,Bowling!$B$39:$DX$66,114,0),0)</f>
        <v>0</v>
      </c>
      <c r="AT11" s="404">
        <f>_xlfn.IFNA(VLOOKUP($C11,Bowling!$B$39:$DX$66,119,0),0)</f>
        <v>0</v>
      </c>
      <c r="AU11" s="405">
        <f>_xlfn.IFNA(VLOOKUP($C11,Bowling!$B$39:$DX$66,124,0),0)</f>
        <v>0</v>
      </c>
      <c r="AV11" s="403">
        <f>_xlfn.IFNA(VLOOKUP($C11,Fielding!$B$23:$CN$36,8,0),0)</f>
        <v>0</v>
      </c>
      <c r="AW11" s="404">
        <f>_xlfn.IFNA(VLOOKUP($C11,Fielding!$B$23:$CN$36,12,0),0)</f>
        <v>0</v>
      </c>
      <c r="AX11" s="404">
        <f>_xlfn.IFNA(VLOOKUP($C11,Fielding!$B$23:$CN$36,16,0),0)</f>
        <v>0</v>
      </c>
      <c r="AY11" s="404">
        <f>_xlfn.IFNA(VLOOKUP($C11,Fielding!$B$23:$CN$36,20,0),0)</f>
        <v>0</v>
      </c>
      <c r="AZ11" s="404">
        <f>_xlfn.IFNA(VLOOKUP($C11,Fielding!$B$23:$CN$36,24,0),0)</f>
        <v>0</v>
      </c>
      <c r="BA11" s="404">
        <f>_xlfn.IFNA(VLOOKUP($C11,Fielding!$B$23:$CN$36,28,0),0)</f>
        <v>0</v>
      </c>
      <c r="BB11" s="404">
        <f>_xlfn.IFNA(VLOOKUP($C11,Fielding!$B$23:$CN$36,32,0),0)</f>
        <v>0</v>
      </c>
      <c r="BC11" s="404">
        <f>_xlfn.IFNA(VLOOKUP($C11,Fielding!$B$23:$CN$36,36,0),0)</f>
        <v>0</v>
      </c>
      <c r="BD11" s="404">
        <f>_xlfn.IFNA(VLOOKUP($C11,Fielding!$B$23:$CN$36,40,0),0)</f>
        <v>0</v>
      </c>
      <c r="BE11" s="404">
        <f>_xlfn.IFNA(VLOOKUP($C11,Fielding!$B$23:$CN$36,44,0),0)</f>
        <v>0</v>
      </c>
      <c r="BF11" s="404">
        <f>_xlfn.IFNA(VLOOKUP($C11,Fielding!$B$23:$CN$36,48,0),0)</f>
        <v>0</v>
      </c>
      <c r="BG11" s="404">
        <f>_xlfn.IFNA(VLOOKUP($C11,Fielding!$B$23:$CN$36,52,0),0)</f>
        <v>16</v>
      </c>
      <c r="BH11" s="404">
        <f>_xlfn.IFNA(VLOOKUP($C11,Fielding!$B$23:$CN$36,56,0),0)</f>
        <v>0</v>
      </c>
      <c r="BI11" s="404">
        <f>_xlfn.IFNA(VLOOKUP($C11,Fielding!$B$23:$CN$36,60,0),0)</f>
        <v>0</v>
      </c>
      <c r="BJ11" s="404">
        <f>_xlfn.IFNA(VLOOKUP($C11,Fielding!$B$23:$CN$36,64,0),0)</f>
        <v>0</v>
      </c>
      <c r="BK11" s="404">
        <f>_xlfn.IFNA(VLOOKUP($C11,Fielding!$B$23:$CN$36,68,0),0)</f>
        <v>0</v>
      </c>
      <c r="BL11" s="404">
        <f>_xlfn.IFNA(VLOOKUP($C11,Fielding!$B$23:$CN$36,72,0),0)</f>
        <v>8</v>
      </c>
      <c r="BM11" s="404">
        <f>_xlfn.IFNA(VLOOKUP($C11,Fielding!$B$23:$CN$36,76,0),0)</f>
        <v>0</v>
      </c>
      <c r="BN11" s="404">
        <f>_xlfn.IFNA(VLOOKUP($C11,Fielding!$B$23:$CN$36,80,0),0)</f>
        <v>0</v>
      </c>
      <c r="BO11" s="404">
        <f>_xlfn.IFNA(VLOOKUP($C11,Fielding!$B$23:$CN$36,84,0),0)</f>
        <v>0</v>
      </c>
      <c r="BP11" s="405">
        <f>_xlfn.IFNA(VLOOKUP($C11,Fielding!$B$23:$CN$36,88,0),0)</f>
        <v>0</v>
      </c>
      <c r="BQ11" s="403">
        <f t="shared" si="0"/>
        <v>0</v>
      </c>
      <c r="BR11" s="404">
        <f t="shared" si="1"/>
        <v>0</v>
      </c>
      <c r="BS11" s="404">
        <f t="shared" si="2"/>
        <v>0</v>
      </c>
      <c r="BT11" s="404">
        <f t="shared" si="3"/>
        <v>0</v>
      </c>
      <c r="BU11" s="404">
        <f t="shared" si="4"/>
        <v>0</v>
      </c>
      <c r="BV11" s="404">
        <f t="shared" si="5"/>
        <v>0</v>
      </c>
      <c r="BW11" s="404">
        <f t="shared" si="6"/>
        <v>0</v>
      </c>
      <c r="BX11" s="404">
        <f t="shared" si="7"/>
        <v>0</v>
      </c>
      <c r="BY11" s="404">
        <f t="shared" si="8"/>
        <v>0</v>
      </c>
      <c r="BZ11" s="404">
        <f t="shared" si="9"/>
        <v>-17.8</v>
      </c>
      <c r="CA11" s="404">
        <f t="shared" si="10"/>
        <v>-7.4</v>
      </c>
      <c r="CB11" s="404">
        <f t="shared" si="11"/>
        <v>76</v>
      </c>
      <c r="CC11" s="404">
        <f t="shared" si="12"/>
        <v>0</v>
      </c>
      <c r="CD11" s="404">
        <f t="shared" si="13"/>
        <v>-3.2</v>
      </c>
      <c r="CE11" s="404">
        <f t="shared" si="14"/>
        <v>0</v>
      </c>
      <c r="CF11" s="404">
        <f t="shared" si="15"/>
        <v>46.8</v>
      </c>
      <c r="CG11" s="404">
        <f t="shared" si="16"/>
        <v>1</v>
      </c>
      <c r="CH11" s="404">
        <f t="shared" si="17"/>
        <v>0</v>
      </c>
      <c r="CI11" s="404">
        <f t="shared" si="18"/>
        <v>0</v>
      </c>
      <c r="CJ11" s="404">
        <f t="shared" si="19"/>
        <v>0</v>
      </c>
      <c r="CK11" s="405">
        <f t="shared" si="20"/>
        <v>0</v>
      </c>
      <c r="CL11" s="403">
        <f t="shared" si="44"/>
        <v>0</v>
      </c>
      <c r="CM11" s="404">
        <f t="shared" si="45"/>
        <v>0</v>
      </c>
      <c r="CN11" s="404">
        <f t="shared" si="46"/>
        <v>0</v>
      </c>
      <c r="CO11" s="404">
        <f t="shared" si="47"/>
        <v>0</v>
      </c>
      <c r="CP11" s="404">
        <f t="shared" si="48"/>
        <v>0</v>
      </c>
      <c r="CQ11" s="404">
        <f t="shared" si="49"/>
        <v>0</v>
      </c>
      <c r="CR11" s="404">
        <f t="shared" si="50"/>
        <v>0</v>
      </c>
      <c r="CS11" s="404">
        <f t="shared" si="51"/>
        <v>0</v>
      </c>
      <c r="CT11" s="404">
        <f t="shared" si="52"/>
        <v>0</v>
      </c>
      <c r="CU11" s="404">
        <f t="shared" si="53"/>
        <v>-17.8</v>
      </c>
      <c r="CV11" s="404">
        <f t="shared" si="54"/>
        <v>-25.200000000000003</v>
      </c>
      <c r="CW11" s="404">
        <f t="shared" si="55"/>
        <v>50.8</v>
      </c>
      <c r="CX11" s="404">
        <f t="shared" si="56"/>
        <v>50.8</v>
      </c>
      <c r="CY11" s="404">
        <f t="shared" si="57"/>
        <v>47.599999999999994</v>
      </c>
      <c r="CZ11" s="404">
        <f t="shared" si="58"/>
        <v>47.599999999999994</v>
      </c>
      <c r="DA11" s="404">
        <f t="shared" si="59"/>
        <v>94.399999999999991</v>
      </c>
      <c r="DB11" s="404">
        <f t="shared" si="60"/>
        <v>95.399999999999991</v>
      </c>
      <c r="DC11" s="404">
        <f t="shared" si="61"/>
        <v>95.399999999999991</v>
      </c>
      <c r="DD11" s="404">
        <f t="shared" si="62"/>
        <v>95.399999999999991</v>
      </c>
      <c r="DE11" s="404">
        <f t="shared" si="63"/>
        <v>95.399999999999991</v>
      </c>
      <c r="DF11" s="405">
        <f t="shared" si="64"/>
        <v>95.399999999999991</v>
      </c>
      <c r="DG11" s="414" t="str">
        <f t="shared" si="22"/>
        <v>-</v>
      </c>
      <c r="DH11" s="415" t="str">
        <f t="shared" si="23"/>
        <v>-</v>
      </c>
      <c r="DI11" s="415" t="str">
        <f t="shared" si="24"/>
        <v>-</v>
      </c>
      <c r="DJ11" s="415" t="str">
        <f t="shared" si="25"/>
        <v>-</v>
      </c>
      <c r="DK11" s="415" t="str">
        <f t="shared" si="26"/>
        <v>-</v>
      </c>
      <c r="DL11" s="415" t="str">
        <f t="shared" si="27"/>
        <v>-</v>
      </c>
      <c r="DM11" s="415" t="str">
        <f t="shared" si="28"/>
        <v>-</v>
      </c>
      <c r="DN11" s="415" t="str">
        <f t="shared" si="29"/>
        <v>-</v>
      </c>
      <c r="DO11" s="415" t="str">
        <f t="shared" si="30"/>
        <v>-</v>
      </c>
      <c r="DP11" s="415">
        <f t="shared" si="31"/>
        <v>32</v>
      </c>
      <c r="DQ11" s="415">
        <f t="shared" si="32"/>
        <v>32</v>
      </c>
      <c r="DR11" s="415">
        <f t="shared" si="33"/>
        <v>11</v>
      </c>
      <c r="DS11" s="415">
        <f t="shared" si="34"/>
        <v>11</v>
      </c>
      <c r="DT11" s="415">
        <f t="shared" si="35"/>
        <v>11</v>
      </c>
      <c r="DU11" s="415">
        <f t="shared" si="36"/>
        <v>11</v>
      </c>
      <c r="DV11" s="415">
        <f t="shared" si="37"/>
        <v>9</v>
      </c>
      <c r="DW11" s="415">
        <f t="shared" si="38"/>
        <v>9</v>
      </c>
      <c r="DX11" s="415">
        <f t="shared" si="39"/>
        <v>9</v>
      </c>
      <c r="DY11" s="415">
        <f t="shared" si="40"/>
        <v>9</v>
      </c>
      <c r="DZ11" s="415">
        <f t="shared" si="41"/>
        <v>9</v>
      </c>
      <c r="EA11" s="416">
        <f t="shared" si="42"/>
        <v>9</v>
      </c>
    </row>
    <row r="12" spans="1:131" x14ac:dyDescent="0.2">
      <c r="A12" s="119"/>
      <c r="B12" s="157">
        <f t="shared" si="43"/>
        <v>10</v>
      </c>
      <c r="C12" s="158" t="s">
        <v>37</v>
      </c>
      <c r="D12" s="159" t="s">
        <v>190</v>
      </c>
      <c r="E12" s="409">
        <f>IF(ISNA(VLOOKUP($C12,Batting!$B$5:$M$103,3,FALSE)),0,(VLOOKUP($C12,Batting!$B$5:$M$103,3,FALSE)))</f>
        <v>2</v>
      </c>
      <c r="F12" s="403">
        <f>VLOOKUP($C12,Batting!$B$44:$BZ$75,17,0)</f>
        <v>0</v>
      </c>
      <c r="G12" s="404">
        <f>VLOOKUP($C12,Batting!$B$44:$BZ$75,20,0)</f>
        <v>0</v>
      </c>
      <c r="H12" s="404">
        <f>VLOOKUP($C12,Batting!$B$44:$BZ$75,23,0)</f>
        <v>0</v>
      </c>
      <c r="I12" s="404">
        <f>VLOOKUP($C12,Batting!$B$44:$BZ$75,26,0)</f>
        <v>21</v>
      </c>
      <c r="J12" s="404">
        <f>VLOOKUP($C12,Batting!$B$44:$BZ$75,29,0)</f>
        <v>0</v>
      </c>
      <c r="K12" s="404">
        <f>VLOOKUP($C12,Batting!$B$44:$BZ$75,32,0)</f>
        <v>0</v>
      </c>
      <c r="L12" s="404">
        <f>VLOOKUP($C12,Batting!$B$44:$BZ$75,35,0)</f>
        <v>0</v>
      </c>
      <c r="M12" s="404">
        <f>VLOOKUP($C12,Batting!$B$44:$BZ$75,38,0)</f>
        <v>0</v>
      </c>
      <c r="N12" s="404">
        <f>VLOOKUP($C12,Batting!$B$44:$BZ$75,41,0)</f>
        <v>0</v>
      </c>
      <c r="O12" s="404">
        <f>VLOOKUP($C12,Batting!$B$44:$BZ$75,44,0)</f>
        <v>0</v>
      </c>
      <c r="P12" s="404">
        <f>VLOOKUP($C12,Batting!$B$44:$BZ$75,47,0)</f>
        <v>0</v>
      </c>
      <c r="Q12" s="404">
        <f>VLOOKUP($C12,Batting!$B$44:$BZ$75,50,0)</f>
        <v>0</v>
      </c>
      <c r="R12" s="404">
        <f>VLOOKUP($C12,Batting!$B$44:$BZ$75,53,0)</f>
        <v>0</v>
      </c>
      <c r="S12" s="404">
        <f>VLOOKUP($C12,Batting!$B$44:$BZ$75,56,0)</f>
        <v>0</v>
      </c>
      <c r="T12" s="404">
        <f>VLOOKUP($C12,Batting!$B$44:$BZ$75,59,0)</f>
        <v>0</v>
      </c>
      <c r="U12" s="404">
        <f>VLOOKUP($C12,Batting!$B$44:$BZ$75,62,0)</f>
        <v>0</v>
      </c>
      <c r="V12" s="404">
        <f>VLOOKUP($C12,Batting!$B$44:$BZ$75,65,0)</f>
        <v>0</v>
      </c>
      <c r="W12" s="404">
        <f>VLOOKUP($C12,Batting!$B$44:$BZ$75,68,0)</f>
        <v>0</v>
      </c>
      <c r="X12" s="404">
        <f>VLOOKUP($C12,Batting!$B$44:$BZ$75,71,0)</f>
        <v>0</v>
      </c>
      <c r="Y12" s="404">
        <f>VLOOKUP($C12,Batting!$B$44:$BZ$75,74,0)</f>
        <v>0</v>
      </c>
      <c r="Z12" s="405">
        <f>VLOOKUP($C12,Batting!$B$44:$BZ$75,77,0)</f>
        <v>0</v>
      </c>
      <c r="AA12" s="403">
        <f>_xlfn.IFNA(VLOOKUP($C12,Bowling!$B$39:$DX$66,24,0),0)</f>
        <v>0</v>
      </c>
      <c r="AB12" s="404">
        <f>_xlfn.IFNA(VLOOKUP($C12,Bowling!$B$39:$DX$66,29,0),0)</f>
        <v>0</v>
      </c>
      <c r="AC12" s="404">
        <f>_xlfn.IFNA(VLOOKUP($C12,Bowling!$B$39:$DX$66,34,0),0)</f>
        <v>34.6</v>
      </c>
      <c r="AD12" s="404">
        <f>_xlfn.IFNA(VLOOKUP($C12,Bowling!$B$39:$DX$66,39,0),0)</f>
        <v>13.6</v>
      </c>
      <c r="AE12" s="404">
        <f>_xlfn.IFNA(VLOOKUP($C12,Bowling!$B$39:$DX$66,44,0),0)</f>
        <v>0</v>
      </c>
      <c r="AF12" s="404">
        <f>_xlfn.IFNA(VLOOKUP($C12,Bowling!$B$39:$DX$66,49,0),0)</f>
        <v>0</v>
      </c>
      <c r="AG12" s="404">
        <f>_xlfn.IFNA(VLOOKUP($C12,Bowling!$B$39:$DX$66,54,0),0)</f>
        <v>0</v>
      </c>
      <c r="AH12" s="404">
        <f>_xlfn.IFNA(VLOOKUP($C12,Bowling!$B$39:$DX$66,59,0),0)</f>
        <v>0</v>
      </c>
      <c r="AI12" s="404">
        <f>_xlfn.IFNA(VLOOKUP($C12,Bowling!$B$39:$DX$66,64,0),0)</f>
        <v>0</v>
      </c>
      <c r="AJ12" s="404">
        <f>_xlfn.IFNA(VLOOKUP($C12,Bowling!$B$39:$DX$66,69,0),0)</f>
        <v>0</v>
      </c>
      <c r="AK12" s="404">
        <f>_xlfn.IFNA(VLOOKUP($C12,Bowling!$B$39:$DX$66,74,0),0)</f>
        <v>0</v>
      </c>
      <c r="AL12" s="404">
        <f>_xlfn.IFNA(VLOOKUP($C12,Bowling!$B$39:$DX$66,79,0),0)</f>
        <v>0</v>
      </c>
      <c r="AM12" s="404">
        <f>_xlfn.IFNA(VLOOKUP($C12,Bowling!$B$39:$DX$66,84,0),0)</f>
        <v>0</v>
      </c>
      <c r="AN12" s="404">
        <f>_xlfn.IFNA(VLOOKUP($C12,Bowling!$B$39:$DX$66,89,0),0)</f>
        <v>0</v>
      </c>
      <c r="AO12" s="404">
        <f>_xlfn.IFNA(VLOOKUP($C12,Bowling!$B$39:$DX$66,94,0),0)</f>
        <v>0</v>
      </c>
      <c r="AP12" s="404">
        <f>_xlfn.IFNA(VLOOKUP($C12,Bowling!$B$39:$DX$66,99,0),0)</f>
        <v>0</v>
      </c>
      <c r="AQ12" s="404">
        <f>_xlfn.IFNA(VLOOKUP($C12,Bowling!$B$39:$DX$66,104,0),0)</f>
        <v>0</v>
      </c>
      <c r="AR12" s="404">
        <f>_xlfn.IFNA(VLOOKUP($C12,Bowling!$B$39:$DX$66,109,0),0)</f>
        <v>0</v>
      </c>
      <c r="AS12" s="404">
        <f>_xlfn.IFNA(VLOOKUP($C12,Bowling!$B$39:$DX$66,114,0),0)</f>
        <v>0</v>
      </c>
      <c r="AT12" s="404">
        <f>_xlfn.IFNA(VLOOKUP($C12,Bowling!$B$39:$DX$66,119,0),0)</f>
        <v>0</v>
      </c>
      <c r="AU12" s="405">
        <f>_xlfn.IFNA(VLOOKUP($C12,Bowling!$B$39:$DX$66,124,0),0)</f>
        <v>0</v>
      </c>
      <c r="AV12" s="403">
        <f>_xlfn.IFNA(VLOOKUP($C12,Fielding!$B$23:$CN$36,8,0),0)</f>
        <v>0</v>
      </c>
      <c r="AW12" s="404">
        <f>_xlfn.IFNA(VLOOKUP($C12,Fielding!$B$23:$CN$36,12,0),0)</f>
        <v>0</v>
      </c>
      <c r="AX12" s="404">
        <f>_xlfn.IFNA(VLOOKUP($C12,Fielding!$B$23:$CN$36,16,0),0)</f>
        <v>0</v>
      </c>
      <c r="AY12" s="404">
        <f>_xlfn.IFNA(VLOOKUP($C12,Fielding!$B$23:$CN$36,20,0),0)</f>
        <v>0</v>
      </c>
      <c r="AZ12" s="404">
        <f>_xlfn.IFNA(VLOOKUP($C12,Fielding!$B$23:$CN$36,24,0),0)</f>
        <v>0</v>
      </c>
      <c r="BA12" s="404">
        <f>_xlfn.IFNA(VLOOKUP($C12,Fielding!$B$23:$CN$36,28,0),0)</f>
        <v>0</v>
      </c>
      <c r="BB12" s="404">
        <f>_xlfn.IFNA(VLOOKUP($C12,Fielding!$B$23:$CN$36,32,0),0)</f>
        <v>0</v>
      </c>
      <c r="BC12" s="404">
        <f>_xlfn.IFNA(VLOOKUP($C12,Fielding!$B$23:$CN$36,36,0),0)</f>
        <v>0</v>
      </c>
      <c r="BD12" s="404">
        <f>_xlfn.IFNA(VLOOKUP($C12,Fielding!$B$23:$CN$36,40,0),0)</f>
        <v>0</v>
      </c>
      <c r="BE12" s="404">
        <f>_xlfn.IFNA(VLOOKUP($C12,Fielding!$B$23:$CN$36,44,0),0)</f>
        <v>0</v>
      </c>
      <c r="BF12" s="404">
        <f>_xlfn.IFNA(VLOOKUP($C12,Fielding!$B$23:$CN$36,48,0),0)</f>
        <v>0</v>
      </c>
      <c r="BG12" s="404">
        <f>_xlfn.IFNA(VLOOKUP($C12,Fielding!$B$23:$CN$36,52,0),0)</f>
        <v>0</v>
      </c>
      <c r="BH12" s="404">
        <f>_xlfn.IFNA(VLOOKUP($C12,Fielding!$B$23:$CN$36,56,0),0)</f>
        <v>0</v>
      </c>
      <c r="BI12" s="404">
        <f>_xlfn.IFNA(VLOOKUP($C12,Fielding!$B$23:$CN$36,60,0),0)</f>
        <v>0</v>
      </c>
      <c r="BJ12" s="404">
        <f>_xlfn.IFNA(VLOOKUP($C12,Fielding!$B$23:$CN$36,64,0),0)</f>
        <v>0</v>
      </c>
      <c r="BK12" s="404">
        <f>_xlfn.IFNA(VLOOKUP($C12,Fielding!$B$23:$CN$36,68,0),0)</f>
        <v>0</v>
      </c>
      <c r="BL12" s="404">
        <f>_xlfn.IFNA(VLOOKUP($C12,Fielding!$B$23:$CN$36,72,0),0)</f>
        <v>0</v>
      </c>
      <c r="BM12" s="404">
        <f>_xlfn.IFNA(VLOOKUP($C12,Fielding!$B$23:$CN$36,76,0),0)</f>
        <v>0</v>
      </c>
      <c r="BN12" s="404">
        <f>_xlfn.IFNA(VLOOKUP($C12,Fielding!$B$23:$CN$36,80,0),0)</f>
        <v>0</v>
      </c>
      <c r="BO12" s="404">
        <f>_xlfn.IFNA(VLOOKUP($C12,Fielding!$B$23:$CN$36,84,0),0)</f>
        <v>0</v>
      </c>
      <c r="BP12" s="405">
        <f>_xlfn.IFNA(VLOOKUP($C12,Fielding!$B$23:$CN$36,88,0),0)</f>
        <v>0</v>
      </c>
      <c r="BQ12" s="403">
        <f t="shared" si="0"/>
        <v>0</v>
      </c>
      <c r="BR12" s="404">
        <f t="shared" si="1"/>
        <v>0</v>
      </c>
      <c r="BS12" s="404">
        <f t="shared" si="2"/>
        <v>34.6</v>
      </c>
      <c r="BT12" s="404">
        <f t="shared" si="3"/>
        <v>34.6</v>
      </c>
      <c r="BU12" s="404">
        <f t="shared" si="4"/>
        <v>0</v>
      </c>
      <c r="BV12" s="404">
        <f t="shared" si="5"/>
        <v>0</v>
      </c>
      <c r="BW12" s="404">
        <f t="shared" si="6"/>
        <v>0</v>
      </c>
      <c r="BX12" s="404">
        <f t="shared" si="7"/>
        <v>0</v>
      </c>
      <c r="BY12" s="404">
        <f t="shared" si="8"/>
        <v>0</v>
      </c>
      <c r="BZ12" s="404">
        <f t="shared" si="9"/>
        <v>0</v>
      </c>
      <c r="CA12" s="404">
        <f t="shared" si="10"/>
        <v>0</v>
      </c>
      <c r="CB12" s="404">
        <f t="shared" si="11"/>
        <v>0</v>
      </c>
      <c r="CC12" s="404">
        <f t="shared" si="12"/>
        <v>0</v>
      </c>
      <c r="CD12" s="404">
        <f t="shared" si="13"/>
        <v>0</v>
      </c>
      <c r="CE12" s="404">
        <f t="shared" si="14"/>
        <v>0</v>
      </c>
      <c r="CF12" s="404">
        <f t="shared" si="15"/>
        <v>0</v>
      </c>
      <c r="CG12" s="404">
        <f t="shared" si="16"/>
        <v>0</v>
      </c>
      <c r="CH12" s="404">
        <f t="shared" si="17"/>
        <v>0</v>
      </c>
      <c r="CI12" s="404">
        <f t="shared" si="18"/>
        <v>0</v>
      </c>
      <c r="CJ12" s="404">
        <f t="shared" si="19"/>
        <v>0</v>
      </c>
      <c r="CK12" s="405">
        <f t="shared" si="20"/>
        <v>0</v>
      </c>
      <c r="CL12" s="403">
        <f t="shared" si="44"/>
        <v>0</v>
      </c>
      <c r="CM12" s="404">
        <f t="shared" si="45"/>
        <v>0</v>
      </c>
      <c r="CN12" s="404">
        <f t="shared" si="46"/>
        <v>34.6</v>
      </c>
      <c r="CO12" s="404">
        <f t="shared" si="47"/>
        <v>69.2</v>
      </c>
      <c r="CP12" s="404">
        <f t="shared" si="48"/>
        <v>69.2</v>
      </c>
      <c r="CQ12" s="404">
        <f t="shared" si="49"/>
        <v>69.2</v>
      </c>
      <c r="CR12" s="404">
        <f t="shared" si="50"/>
        <v>69.2</v>
      </c>
      <c r="CS12" s="404">
        <f t="shared" si="51"/>
        <v>69.2</v>
      </c>
      <c r="CT12" s="404">
        <f t="shared" si="52"/>
        <v>69.2</v>
      </c>
      <c r="CU12" s="404">
        <f t="shared" si="53"/>
        <v>69.2</v>
      </c>
      <c r="CV12" s="404">
        <f t="shared" si="54"/>
        <v>69.2</v>
      </c>
      <c r="CW12" s="404">
        <f t="shared" si="55"/>
        <v>69.2</v>
      </c>
      <c r="CX12" s="404">
        <f t="shared" si="56"/>
        <v>69.2</v>
      </c>
      <c r="CY12" s="404">
        <f t="shared" si="57"/>
        <v>69.2</v>
      </c>
      <c r="CZ12" s="404">
        <f t="shared" si="58"/>
        <v>69.2</v>
      </c>
      <c r="DA12" s="404">
        <f t="shared" si="59"/>
        <v>69.2</v>
      </c>
      <c r="DB12" s="404">
        <f t="shared" si="60"/>
        <v>69.2</v>
      </c>
      <c r="DC12" s="404">
        <f t="shared" si="61"/>
        <v>69.2</v>
      </c>
      <c r="DD12" s="404">
        <f t="shared" si="62"/>
        <v>69.2</v>
      </c>
      <c r="DE12" s="404">
        <f t="shared" si="63"/>
        <v>69.2</v>
      </c>
      <c r="DF12" s="405">
        <f t="shared" si="64"/>
        <v>69.2</v>
      </c>
      <c r="DG12" s="414" t="str">
        <f t="shared" si="22"/>
        <v>-</v>
      </c>
      <c r="DH12" s="415" t="str">
        <f t="shared" si="23"/>
        <v>-</v>
      </c>
      <c r="DI12" s="415">
        <f t="shared" si="24"/>
        <v>3</v>
      </c>
      <c r="DJ12" s="415">
        <f t="shared" si="25"/>
        <v>3</v>
      </c>
      <c r="DK12" s="415">
        <f t="shared" si="26"/>
        <v>5</v>
      </c>
      <c r="DL12" s="415">
        <f t="shared" si="27"/>
        <v>5</v>
      </c>
      <c r="DM12" s="415">
        <f t="shared" si="28"/>
        <v>5</v>
      </c>
      <c r="DN12" s="415">
        <f t="shared" si="29"/>
        <v>8</v>
      </c>
      <c r="DO12" s="415">
        <f t="shared" si="30"/>
        <v>9</v>
      </c>
      <c r="DP12" s="415">
        <f t="shared" si="31"/>
        <v>9</v>
      </c>
      <c r="DQ12" s="415">
        <f t="shared" si="32"/>
        <v>9</v>
      </c>
      <c r="DR12" s="415">
        <f t="shared" si="33"/>
        <v>9</v>
      </c>
      <c r="DS12" s="415">
        <f t="shared" si="34"/>
        <v>9</v>
      </c>
      <c r="DT12" s="415">
        <f t="shared" si="35"/>
        <v>9</v>
      </c>
      <c r="DU12" s="415">
        <f t="shared" si="36"/>
        <v>9</v>
      </c>
      <c r="DV12" s="415">
        <f t="shared" si="37"/>
        <v>10</v>
      </c>
      <c r="DW12" s="415">
        <f t="shared" si="38"/>
        <v>10</v>
      </c>
      <c r="DX12" s="415">
        <f t="shared" si="39"/>
        <v>10</v>
      </c>
      <c r="DY12" s="415">
        <f t="shared" si="40"/>
        <v>11</v>
      </c>
      <c r="DZ12" s="415">
        <f t="shared" si="41"/>
        <v>11</v>
      </c>
      <c r="EA12" s="416">
        <f t="shared" si="42"/>
        <v>11</v>
      </c>
    </row>
    <row r="13" spans="1:131" x14ac:dyDescent="0.2">
      <c r="A13" s="119"/>
      <c r="B13" s="157">
        <f t="shared" si="43"/>
        <v>11</v>
      </c>
      <c r="C13" s="158" t="s">
        <v>283</v>
      </c>
      <c r="D13" s="159" t="s">
        <v>188</v>
      </c>
      <c r="E13" s="409">
        <f>IF(ISNA(VLOOKUP($C13,Batting!$B$5:$M$103,3,FALSE)),0,(VLOOKUP($C13,Batting!$B$5:$M$103,3,FALSE)))</f>
        <v>2</v>
      </c>
      <c r="F13" s="403">
        <f>VLOOKUP($C13,Batting!$B$44:$BZ$75,17,0)</f>
        <v>0</v>
      </c>
      <c r="G13" s="404">
        <f>VLOOKUP($C13,Batting!$B$44:$BZ$75,20,0)</f>
        <v>0</v>
      </c>
      <c r="H13" s="404">
        <f>VLOOKUP($C13,Batting!$B$44:$BZ$75,23,0)</f>
        <v>0</v>
      </c>
      <c r="I13" s="404">
        <f>VLOOKUP($C13,Batting!$B$44:$BZ$75,26,0)</f>
        <v>0</v>
      </c>
      <c r="J13" s="404">
        <f>VLOOKUP($C13,Batting!$B$44:$BZ$75,29,0)</f>
        <v>0</v>
      </c>
      <c r="K13" s="404">
        <f>VLOOKUP($C13,Batting!$B$44:$BZ$75,32,0)</f>
        <v>0</v>
      </c>
      <c r="L13" s="404">
        <f>VLOOKUP($C13,Batting!$B$44:$BZ$75,35,0)</f>
        <v>0</v>
      </c>
      <c r="M13" s="404">
        <f>VLOOKUP($C13,Batting!$B$44:$BZ$75,38,0)</f>
        <v>0</v>
      </c>
      <c r="N13" s="404">
        <f>VLOOKUP($C13,Batting!$B$44:$BZ$75,41,0)</f>
        <v>0</v>
      </c>
      <c r="O13" s="404">
        <f>VLOOKUP($C13,Batting!$B$44:$BZ$75,44,0)</f>
        <v>0</v>
      </c>
      <c r="P13" s="404">
        <f>VLOOKUP($C13,Batting!$B$44:$BZ$75,47,0)</f>
        <v>0</v>
      </c>
      <c r="Q13" s="404">
        <f>VLOOKUP($C13,Batting!$B$44:$BZ$75,50,0)</f>
        <v>22</v>
      </c>
      <c r="R13" s="404">
        <f>VLOOKUP($C13,Batting!$B$44:$BZ$75,53,0)</f>
        <v>0</v>
      </c>
      <c r="S13" s="404">
        <f>VLOOKUP($C13,Batting!$B$44:$BZ$75,56,0)</f>
        <v>0</v>
      </c>
      <c r="T13" s="404">
        <f>VLOOKUP($C13,Batting!$B$44:$BZ$75,59,0)</f>
        <v>0</v>
      </c>
      <c r="U13" s="404">
        <f>VLOOKUP($C13,Batting!$B$44:$BZ$75,62,0)</f>
        <v>0</v>
      </c>
      <c r="V13" s="404">
        <f>VLOOKUP($C13,Batting!$B$44:$BZ$75,65,0)</f>
        <v>0</v>
      </c>
      <c r="W13" s="404">
        <f>VLOOKUP($C13,Batting!$B$44:$BZ$75,68,0)</f>
        <v>0</v>
      </c>
      <c r="X13" s="404">
        <f>VLOOKUP($C13,Batting!$B$44:$BZ$75,71,0)</f>
        <v>0</v>
      </c>
      <c r="Y13" s="404">
        <f>VLOOKUP($C13,Batting!$B$44:$BZ$75,74,0)</f>
        <v>0</v>
      </c>
      <c r="Z13" s="405">
        <f>VLOOKUP($C13,Batting!$B$44:$BZ$75,77,0)</f>
        <v>0</v>
      </c>
      <c r="AA13" s="403">
        <f>_xlfn.IFNA(VLOOKUP($C13,Bowling!$B$39:$DX$66,24,0),0)</f>
        <v>0</v>
      </c>
      <c r="AB13" s="404">
        <f>_xlfn.IFNA(VLOOKUP($C13,Bowling!$B$39:$DX$66,29,0),0)</f>
        <v>0</v>
      </c>
      <c r="AC13" s="404">
        <f>_xlfn.IFNA(VLOOKUP($C13,Bowling!$B$39:$DX$66,34,0),0)</f>
        <v>0</v>
      </c>
      <c r="AD13" s="404">
        <f>_xlfn.IFNA(VLOOKUP($C13,Bowling!$B$39:$DX$66,39,0),0)</f>
        <v>0</v>
      </c>
      <c r="AE13" s="404">
        <f>_xlfn.IFNA(VLOOKUP($C13,Bowling!$B$39:$DX$66,44,0),0)</f>
        <v>0</v>
      </c>
      <c r="AF13" s="404">
        <f>_xlfn.IFNA(VLOOKUP($C13,Bowling!$B$39:$DX$66,49,0),0)</f>
        <v>0</v>
      </c>
      <c r="AG13" s="404">
        <f>_xlfn.IFNA(VLOOKUP($C13,Bowling!$B$39:$DX$66,54,0),0)</f>
        <v>0</v>
      </c>
      <c r="AH13" s="404">
        <f>_xlfn.IFNA(VLOOKUP($C13,Bowling!$B$39:$DX$66,59,0),0)</f>
        <v>0</v>
      </c>
      <c r="AI13" s="404">
        <f>_xlfn.IFNA(VLOOKUP($C13,Bowling!$B$39:$DX$66,64,0),0)</f>
        <v>0</v>
      </c>
      <c r="AJ13" s="404">
        <f>_xlfn.IFNA(VLOOKUP($C13,Bowling!$B$39:$DX$66,69,0),0)</f>
        <v>0</v>
      </c>
      <c r="AK13" s="404">
        <f>_xlfn.IFNA(VLOOKUP($C13,Bowling!$B$39:$DX$66,74,0),0)</f>
        <v>0</v>
      </c>
      <c r="AL13" s="404">
        <f>_xlfn.IFNA(VLOOKUP($C13,Bowling!$B$39:$DX$66,79,0),0)</f>
        <v>31.2</v>
      </c>
      <c r="AM13" s="404">
        <f>_xlfn.IFNA(VLOOKUP($C13,Bowling!$B$39:$DX$66,84,0),0)</f>
        <v>0</v>
      </c>
      <c r="AN13" s="404">
        <f>_xlfn.IFNA(VLOOKUP($C13,Bowling!$B$39:$DX$66,89,0),0)</f>
        <v>13.2</v>
      </c>
      <c r="AO13" s="404">
        <f>_xlfn.IFNA(VLOOKUP($C13,Bowling!$B$39:$DX$66,94,0),0)</f>
        <v>0</v>
      </c>
      <c r="AP13" s="404">
        <f>_xlfn.IFNA(VLOOKUP($C13,Bowling!$B$39:$DX$66,99,0),0)</f>
        <v>0</v>
      </c>
      <c r="AQ13" s="404">
        <f>_xlfn.IFNA(VLOOKUP($C13,Bowling!$B$39:$DX$66,104,0),0)</f>
        <v>0</v>
      </c>
      <c r="AR13" s="404">
        <f>_xlfn.IFNA(VLOOKUP($C13,Bowling!$B$39:$DX$66,109,0),0)</f>
        <v>0</v>
      </c>
      <c r="AS13" s="404">
        <f>_xlfn.IFNA(VLOOKUP($C13,Bowling!$B$39:$DX$66,114,0),0)</f>
        <v>0</v>
      </c>
      <c r="AT13" s="404">
        <f>_xlfn.IFNA(VLOOKUP($C13,Bowling!$B$39:$DX$66,119,0),0)</f>
        <v>0</v>
      </c>
      <c r="AU13" s="405">
        <f>_xlfn.IFNA(VLOOKUP($C13,Bowling!$B$39:$DX$66,124,0),0)</f>
        <v>0</v>
      </c>
      <c r="AV13" s="403">
        <f>_xlfn.IFNA(VLOOKUP($C13,Fielding!$B$23:$CN$36,8,0),0)</f>
        <v>0</v>
      </c>
      <c r="AW13" s="404">
        <f>_xlfn.IFNA(VLOOKUP($C13,Fielding!$B$23:$CN$36,12,0),0)</f>
        <v>0</v>
      </c>
      <c r="AX13" s="404">
        <f>_xlfn.IFNA(VLOOKUP($C13,Fielding!$B$23:$CN$36,16,0),0)</f>
        <v>0</v>
      </c>
      <c r="AY13" s="404">
        <f>_xlfn.IFNA(VLOOKUP($C13,Fielding!$B$23:$CN$36,20,0),0)</f>
        <v>0</v>
      </c>
      <c r="AZ13" s="404">
        <f>_xlfn.IFNA(VLOOKUP($C13,Fielding!$B$23:$CN$36,24,0),0)</f>
        <v>0</v>
      </c>
      <c r="BA13" s="404">
        <f>_xlfn.IFNA(VLOOKUP($C13,Fielding!$B$23:$CN$36,28,0),0)</f>
        <v>0</v>
      </c>
      <c r="BB13" s="404">
        <f>_xlfn.IFNA(VLOOKUP($C13,Fielding!$B$23:$CN$36,32,0),0)</f>
        <v>0</v>
      </c>
      <c r="BC13" s="404">
        <f>_xlfn.IFNA(VLOOKUP($C13,Fielding!$B$23:$CN$36,36,0),0)</f>
        <v>0</v>
      </c>
      <c r="BD13" s="404">
        <f>_xlfn.IFNA(VLOOKUP($C13,Fielding!$B$23:$CN$36,40,0),0)</f>
        <v>0</v>
      </c>
      <c r="BE13" s="404">
        <f>_xlfn.IFNA(VLOOKUP($C13,Fielding!$B$23:$CN$36,44,0),0)</f>
        <v>0</v>
      </c>
      <c r="BF13" s="404">
        <f>_xlfn.IFNA(VLOOKUP($C13,Fielding!$B$23:$CN$36,48,0),0)</f>
        <v>0</v>
      </c>
      <c r="BG13" s="404">
        <f>_xlfn.IFNA(VLOOKUP($C13,Fielding!$B$23:$CN$36,52,0),0)</f>
        <v>0</v>
      </c>
      <c r="BH13" s="404">
        <f>_xlfn.IFNA(VLOOKUP($C13,Fielding!$B$23:$CN$36,56,0),0)</f>
        <v>0</v>
      </c>
      <c r="BI13" s="404">
        <f>_xlfn.IFNA(VLOOKUP($C13,Fielding!$B$23:$CN$36,60,0),0)</f>
        <v>0</v>
      </c>
      <c r="BJ13" s="404">
        <f>_xlfn.IFNA(VLOOKUP($C13,Fielding!$B$23:$CN$36,64,0),0)</f>
        <v>0</v>
      </c>
      <c r="BK13" s="404">
        <f>_xlfn.IFNA(VLOOKUP($C13,Fielding!$B$23:$CN$36,68,0),0)</f>
        <v>0</v>
      </c>
      <c r="BL13" s="404">
        <f>_xlfn.IFNA(VLOOKUP($C13,Fielding!$B$23:$CN$36,72,0),0)</f>
        <v>0</v>
      </c>
      <c r="BM13" s="404">
        <f>_xlfn.IFNA(VLOOKUP($C13,Fielding!$B$23:$CN$36,76,0),0)</f>
        <v>0</v>
      </c>
      <c r="BN13" s="404">
        <f>_xlfn.IFNA(VLOOKUP($C13,Fielding!$B$23:$CN$36,80,0),0)</f>
        <v>0</v>
      </c>
      <c r="BO13" s="404">
        <f>_xlfn.IFNA(VLOOKUP($C13,Fielding!$B$23:$CN$36,84,0),0)</f>
        <v>0</v>
      </c>
      <c r="BP13" s="405">
        <f>_xlfn.IFNA(VLOOKUP($C13,Fielding!$B$23:$CN$36,88,0),0)</f>
        <v>0</v>
      </c>
      <c r="BQ13" s="403">
        <f t="shared" si="0"/>
        <v>0</v>
      </c>
      <c r="BR13" s="404">
        <f t="shared" si="1"/>
        <v>0</v>
      </c>
      <c r="BS13" s="404">
        <f t="shared" si="2"/>
        <v>0</v>
      </c>
      <c r="BT13" s="404">
        <f t="shared" si="3"/>
        <v>0</v>
      </c>
      <c r="BU13" s="404">
        <f t="shared" si="4"/>
        <v>0</v>
      </c>
      <c r="BV13" s="404">
        <f t="shared" si="5"/>
        <v>0</v>
      </c>
      <c r="BW13" s="404">
        <f t="shared" si="6"/>
        <v>0</v>
      </c>
      <c r="BX13" s="404">
        <f t="shared" si="7"/>
        <v>0</v>
      </c>
      <c r="BY13" s="404">
        <f t="shared" si="8"/>
        <v>0</v>
      </c>
      <c r="BZ13" s="404">
        <f t="shared" si="9"/>
        <v>0</v>
      </c>
      <c r="CA13" s="404">
        <f t="shared" si="10"/>
        <v>0</v>
      </c>
      <c r="CB13" s="404">
        <f t="shared" si="11"/>
        <v>53.2</v>
      </c>
      <c r="CC13" s="404">
        <f t="shared" si="12"/>
        <v>0</v>
      </c>
      <c r="CD13" s="404">
        <f t="shared" si="13"/>
        <v>13.2</v>
      </c>
      <c r="CE13" s="404">
        <f t="shared" si="14"/>
        <v>0</v>
      </c>
      <c r="CF13" s="404">
        <f t="shared" si="15"/>
        <v>0</v>
      </c>
      <c r="CG13" s="404">
        <f t="shared" si="16"/>
        <v>0</v>
      </c>
      <c r="CH13" s="404">
        <f t="shared" si="17"/>
        <v>0</v>
      </c>
      <c r="CI13" s="404">
        <f t="shared" si="18"/>
        <v>0</v>
      </c>
      <c r="CJ13" s="404">
        <f t="shared" si="19"/>
        <v>0</v>
      </c>
      <c r="CK13" s="405">
        <f t="shared" si="20"/>
        <v>0</v>
      </c>
      <c r="CL13" s="403">
        <f t="shared" si="44"/>
        <v>0</v>
      </c>
      <c r="CM13" s="404">
        <f t="shared" si="45"/>
        <v>0</v>
      </c>
      <c r="CN13" s="404">
        <f t="shared" si="46"/>
        <v>0</v>
      </c>
      <c r="CO13" s="404">
        <f t="shared" si="47"/>
        <v>0</v>
      </c>
      <c r="CP13" s="404">
        <f t="shared" si="48"/>
        <v>0</v>
      </c>
      <c r="CQ13" s="404">
        <f t="shared" si="49"/>
        <v>0</v>
      </c>
      <c r="CR13" s="404">
        <f t="shared" si="50"/>
        <v>0</v>
      </c>
      <c r="CS13" s="404">
        <f t="shared" si="51"/>
        <v>0</v>
      </c>
      <c r="CT13" s="404">
        <f t="shared" si="52"/>
        <v>0</v>
      </c>
      <c r="CU13" s="404">
        <f t="shared" si="53"/>
        <v>0</v>
      </c>
      <c r="CV13" s="404">
        <f t="shared" si="54"/>
        <v>0</v>
      </c>
      <c r="CW13" s="404">
        <f t="shared" si="55"/>
        <v>53.2</v>
      </c>
      <c r="CX13" s="404">
        <f t="shared" si="56"/>
        <v>53.2</v>
      </c>
      <c r="CY13" s="404">
        <f t="shared" si="57"/>
        <v>66.400000000000006</v>
      </c>
      <c r="CZ13" s="404">
        <f t="shared" si="58"/>
        <v>66.400000000000006</v>
      </c>
      <c r="DA13" s="404">
        <f t="shared" si="59"/>
        <v>66.400000000000006</v>
      </c>
      <c r="DB13" s="404">
        <f t="shared" si="60"/>
        <v>66.400000000000006</v>
      </c>
      <c r="DC13" s="404">
        <f t="shared" si="61"/>
        <v>66.400000000000006</v>
      </c>
      <c r="DD13" s="404">
        <f t="shared" si="62"/>
        <v>66.400000000000006</v>
      </c>
      <c r="DE13" s="404">
        <f t="shared" si="63"/>
        <v>66.400000000000006</v>
      </c>
      <c r="DF13" s="405">
        <f t="shared" si="64"/>
        <v>66.400000000000006</v>
      </c>
      <c r="DG13" s="414" t="str">
        <f t="shared" si="22"/>
        <v>-</v>
      </c>
      <c r="DH13" s="415" t="str">
        <f t="shared" si="23"/>
        <v>-</v>
      </c>
      <c r="DI13" s="415" t="str">
        <f t="shared" si="24"/>
        <v>-</v>
      </c>
      <c r="DJ13" s="415" t="str">
        <f t="shared" si="25"/>
        <v>-</v>
      </c>
      <c r="DK13" s="415" t="str">
        <f t="shared" si="26"/>
        <v>-</v>
      </c>
      <c r="DL13" s="415" t="str">
        <f t="shared" si="27"/>
        <v>-</v>
      </c>
      <c r="DM13" s="415" t="str">
        <f t="shared" si="28"/>
        <v>-</v>
      </c>
      <c r="DN13" s="415" t="str">
        <f t="shared" si="29"/>
        <v>-</v>
      </c>
      <c r="DO13" s="415" t="str">
        <f t="shared" si="30"/>
        <v>-</v>
      </c>
      <c r="DP13" s="415" t="str">
        <f t="shared" si="31"/>
        <v>-</v>
      </c>
      <c r="DQ13" s="415" t="str">
        <f t="shared" si="32"/>
        <v>-</v>
      </c>
      <c r="DR13" s="415">
        <f t="shared" si="33"/>
        <v>10</v>
      </c>
      <c r="DS13" s="415">
        <f t="shared" si="34"/>
        <v>10</v>
      </c>
      <c r="DT13" s="415">
        <f t="shared" si="35"/>
        <v>10</v>
      </c>
      <c r="DU13" s="415">
        <f t="shared" si="36"/>
        <v>10</v>
      </c>
      <c r="DV13" s="415">
        <f t="shared" si="37"/>
        <v>11</v>
      </c>
      <c r="DW13" s="415">
        <f t="shared" si="38"/>
        <v>11</v>
      </c>
      <c r="DX13" s="415">
        <f t="shared" si="39"/>
        <v>11</v>
      </c>
      <c r="DY13" s="415">
        <f t="shared" si="40"/>
        <v>12</v>
      </c>
      <c r="DZ13" s="415">
        <f t="shared" si="41"/>
        <v>12</v>
      </c>
      <c r="EA13" s="416">
        <f t="shared" si="42"/>
        <v>12</v>
      </c>
    </row>
    <row r="14" spans="1:131" x14ac:dyDescent="0.2">
      <c r="A14" s="119"/>
      <c r="B14" s="157">
        <f t="shared" si="43"/>
        <v>12</v>
      </c>
      <c r="C14" s="158" t="s">
        <v>269</v>
      </c>
      <c r="D14" s="159" t="s">
        <v>189</v>
      </c>
      <c r="E14" s="409">
        <f>IF(ISNA(VLOOKUP($C14,Batting!$B$5:$M$103,3,FALSE)),0,(VLOOKUP($C14,Batting!$B$5:$M$103,3,FALSE)))</f>
        <v>7</v>
      </c>
      <c r="F14" s="403">
        <f>VLOOKUP($C14,Batting!$B$44:$BZ$75,17,0)</f>
        <v>0</v>
      </c>
      <c r="G14" s="404">
        <f>VLOOKUP($C14,Batting!$B$44:$BZ$75,20,0)</f>
        <v>0</v>
      </c>
      <c r="H14" s="404">
        <f>VLOOKUP($C14,Batting!$B$44:$BZ$75,23,0)</f>
        <v>7</v>
      </c>
      <c r="I14" s="404">
        <f>VLOOKUP($C14,Batting!$B$44:$BZ$75,26,0)</f>
        <v>0</v>
      </c>
      <c r="J14" s="404">
        <f>VLOOKUP($C14,Batting!$B$44:$BZ$75,29,0)</f>
        <v>0</v>
      </c>
      <c r="K14" s="404">
        <f>VLOOKUP($C14,Batting!$B$44:$BZ$75,32,0)</f>
        <v>0</v>
      </c>
      <c r="L14" s="404">
        <f>VLOOKUP($C14,Batting!$B$44:$BZ$75,35,0)</f>
        <v>0</v>
      </c>
      <c r="M14" s="404">
        <f>VLOOKUP($C14,Batting!$B$44:$BZ$75,38,0)</f>
        <v>0</v>
      </c>
      <c r="N14" s="404">
        <f>VLOOKUP($C14,Batting!$B$44:$BZ$75,41,0)</f>
        <v>0</v>
      </c>
      <c r="O14" s="404">
        <f>VLOOKUP($C14,Batting!$B$44:$BZ$75,44,0)</f>
        <v>-2</v>
      </c>
      <c r="P14" s="404">
        <f>VLOOKUP($C14,Batting!$B$44:$BZ$75,47,0)</f>
        <v>0</v>
      </c>
      <c r="Q14" s="404">
        <f>VLOOKUP($C14,Batting!$B$44:$BZ$75,50,0)</f>
        <v>0</v>
      </c>
      <c r="R14" s="404">
        <f>VLOOKUP($C14,Batting!$B$44:$BZ$75,53,0)</f>
        <v>0</v>
      </c>
      <c r="S14" s="404">
        <f>VLOOKUP($C14,Batting!$B$44:$BZ$75,56,0)</f>
        <v>0</v>
      </c>
      <c r="T14" s="404">
        <f>VLOOKUP($C14,Batting!$B$44:$BZ$75,59,0)</f>
        <v>0</v>
      </c>
      <c r="U14" s="404">
        <f>VLOOKUP($C14,Batting!$B$44:$BZ$75,62,0)</f>
        <v>-3</v>
      </c>
      <c r="V14" s="404">
        <f>VLOOKUP($C14,Batting!$B$44:$BZ$75,65,0)</f>
        <v>4</v>
      </c>
      <c r="W14" s="404">
        <f>VLOOKUP($C14,Batting!$B$44:$BZ$75,68,0)</f>
        <v>-7</v>
      </c>
      <c r="X14" s="404">
        <f>VLOOKUP($C14,Batting!$B$44:$BZ$75,71,0)</f>
        <v>33</v>
      </c>
      <c r="Y14" s="404">
        <f>VLOOKUP($C14,Batting!$B$44:$BZ$75,74,0)</f>
        <v>0</v>
      </c>
      <c r="Z14" s="405">
        <f>VLOOKUP($C14,Batting!$B$44:$BZ$75,77,0)</f>
        <v>0</v>
      </c>
      <c r="AA14" s="403">
        <f>_xlfn.IFNA(VLOOKUP($C14,Bowling!$B$39:$DX$66,24,0),0)</f>
        <v>0</v>
      </c>
      <c r="AB14" s="404">
        <f>_xlfn.IFNA(VLOOKUP($C14,Bowling!$B$39:$DX$66,29,0),0)</f>
        <v>0</v>
      </c>
      <c r="AC14" s="404">
        <f>_xlfn.IFNA(VLOOKUP($C14,Bowling!$B$39:$DX$66,34,0),0)</f>
        <v>0</v>
      </c>
      <c r="AD14" s="404">
        <f>_xlfn.IFNA(VLOOKUP($C14,Bowling!$B$39:$DX$66,39,0),0)</f>
        <v>0</v>
      </c>
      <c r="AE14" s="404">
        <f>_xlfn.IFNA(VLOOKUP($C14,Bowling!$B$39:$DX$66,44,0),0)</f>
        <v>0</v>
      </c>
      <c r="AF14" s="404">
        <f>_xlfn.IFNA(VLOOKUP($C14,Bowling!$B$39:$DX$66,49,0),0)</f>
        <v>0</v>
      </c>
      <c r="AG14" s="404">
        <f>_xlfn.IFNA(VLOOKUP($C14,Bowling!$B$39:$DX$66,54,0),0)</f>
        <v>0</v>
      </c>
      <c r="AH14" s="404">
        <f>_xlfn.IFNA(VLOOKUP($C14,Bowling!$B$39:$DX$66,59,0),0)</f>
        <v>0</v>
      </c>
      <c r="AI14" s="404">
        <f>_xlfn.IFNA(VLOOKUP($C14,Bowling!$B$39:$DX$66,64,0),0)</f>
        <v>0</v>
      </c>
      <c r="AJ14" s="404">
        <f>_xlfn.IFNA(VLOOKUP($C14,Bowling!$B$39:$DX$66,69,0),0)</f>
        <v>0</v>
      </c>
      <c r="AK14" s="404">
        <f>_xlfn.IFNA(VLOOKUP($C14,Bowling!$B$39:$DX$66,74,0),0)</f>
        <v>0</v>
      </c>
      <c r="AL14" s="404">
        <f>_xlfn.IFNA(VLOOKUP($C14,Bowling!$B$39:$DX$66,79,0),0)</f>
        <v>0</v>
      </c>
      <c r="AM14" s="404">
        <f>_xlfn.IFNA(VLOOKUP($C14,Bowling!$B$39:$DX$66,84,0),0)</f>
        <v>0</v>
      </c>
      <c r="AN14" s="404">
        <f>_xlfn.IFNA(VLOOKUP($C14,Bowling!$B$39:$DX$66,89,0),0)</f>
        <v>18.8</v>
      </c>
      <c r="AO14" s="404">
        <f>_xlfn.IFNA(VLOOKUP($C14,Bowling!$B$39:$DX$66,94,0),0)</f>
        <v>0</v>
      </c>
      <c r="AP14" s="404">
        <f>_xlfn.IFNA(VLOOKUP($C14,Bowling!$B$39:$DX$66,99,0),0)</f>
        <v>0</v>
      </c>
      <c r="AQ14" s="404">
        <f>_xlfn.IFNA(VLOOKUP($C14,Bowling!$B$39:$DX$66,104,0),0)</f>
        <v>0</v>
      </c>
      <c r="AR14" s="404">
        <f>_xlfn.IFNA(VLOOKUP($C14,Bowling!$B$39:$DX$66,109,0),0)</f>
        <v>-5</v>
      </c>
      <c r="AS14" s="404">
        <f>_xlfn.IFNA(VLOOKUP($C14,Bowling!$B$39:$DX$66,114,0),0)</f>
        <v>18.399999999999999</v>
      </c>
      <c r="AT14" s="404">
        <f>_xlfn.IFNA(VLOOKUP($C14,Bowling!$B$39:$DX$66,119,0),0)</f>
        <v>0</v>
      </c>
      <c r="AU14" s="405">
        <f>_xlfn.IFNA(VLOOKUP($C14,Bowling!$B$39:$DX$66,124,0),0)</f>
        <v>0</v>
      </c>
      <c r="AV14" s="403">
        <f>_xlfn.IFNA(VLOOKUP($C14,Fielding!$B$23:$CN$36,8,0),0)</f>
        <v>0</v>
      </c>
      <c r="AW14" s="404">
        <f>_xlfn.IFNA(VLOOKUP($C14,Fielding!$B$23:$CN$36,12,0),0)</f>
        <v>0</v>
      </c>
      <c r="AX14" s="404">
        <f>_xlfn.IFNA(VLOOKUP($C14,Fielding!$B$23:$CN$36,16,0),0)</f>
        <v>0</v>
      </c>
      <c r="AY14" s="404">
        <f>_xlfn.IFNA(VLOOKUP($C14,Fielding!$B$23:$CN$36,20,0),0)</f>
        <v>0</v>
      </c>
      <c r="AZ14" s="404">
        <f>_xlfn.IFNA(VLOOKUP($C14,Fielding!$B$23:$CN$36,24,0),0)</f>
        <v>0</v>
      </c>
      <c r="BA14" s="404">
        <f>_xlfn.IFNA(VLOOKUP($C14,Fielding!$B$23:$CN$36,28,0),0)</f>
        <v>0</v>
      </c>
      <c r="BB14" s="404">
        <f>_xlfn.IFNA(VLOOKUP($C14,Fielding!$B$23:$CN$36,32,0),0)</f>
        <v>0</v>
      </c>
      <c r="BC14" s="404">
        <f>_xlfn.IFNA(VLOOKUP($C14,Fielding!$B$23:$CN$36,36,0),0)</f>
        <v>0</v>
      </c>
      <c r="BD14" s="404">
        <f>_xlfn.IFNA(VLOOKUP($C14,Fielding!$B$23:$CN$36,40,0),0)</f>
        <v>0</v>
      </c>
      <c r="BE14" s="404">
        <f>_xlfn.IFNA(VLOOKUP($C14,Fielding!$B$23:$CN$36,44,0),0)</f>
        <v>16</v>
      </c>
      <c r="BF14" s="404">
        <f>_xlfn.IFNA(VLOOKUP($C14,Fielding!$B$23:$CN$36,48,0),0)</f>
        <v>0</v>
      </c>
      <c r="BG14" s="404">
        <f>_xlfn.IFNA(VLOOKUP($C14,Fielding!$B$23:$CN$36,52,0),0)</f>
        <v>0</v>
      </c>
      <c r="BH14" s="404">
        <f>_xlfn.IFNA(VLOOKUP($C14,Fielding!$B$23:$CN$36,56,0),0)</f>
        <v>0</v>
      </c>
      <c r="BI14" s="404">
        <f>_xlfn.IFNA(VLOOKUP($C14,Fielding!$B$23:$CN$36,60,0),0)</f>
        <v>0</v>
      </c>
      <c r="BJ14" s="404">
        <f>_xlfn.IFNA(VLOOKUP($C14,Fielding!$B$23:$CN$36,64,0),0)</f>
        <v>0</v>
      </c>
      <c r="BK14" s="404">
        <f>_xlfn.IFNA(VLOOKUP($C14,Fielding!$B$23:$CN$36,68,0),0)</f>
        <v>0</v>
      </c>
      <c r="BL14" s="404">
        <f>_xlfn.IFNA(VLOOKUP($C14,Fielding!$B$23:$CN$36,72,0),0)</f>
        <v>8</v>
      </c>
      <c r="BM14" s="404">
        <f>_xlfn.IFNA(VLOOKUP($C14,Fielding!$B$23:$CN$36,76,0),0)</f>
        <v>0</v>
      </c>
      <c r="BN14" s="404">
        <f>_xlfn.IFNA(VLOOKUP($C14,Fielding!$B$23:$CN$36,80,0),0)</f>
        <v>0</v>
      </c>
      <c r="BO14" s="404">
        <f>_xlfn.IFNA(VLOOKUP($C14,Fielding!$B$23:$CN$36,84,0),0)</f>
        <v>0</v>
      </c>
      <c r="BP14" s="405">
        <f>_xlfn.IFNA(VLOOKUP($C14,Fielding!$B$23:$CN$36,88,0),0)</f>
        <v>0</v>
      </c>
      <c r="BQ14" s="403">
        <f t="shared" si="0"/>
        <v>0</v>
      </c>
      <c r="BR14" s="404">
        <f t="shared" si="1"/>
        <v>0</v>
      </c>
      <c r="BS14" s="404">
        <f t="shared" si="2"/>
        <v>7</v>
      </c>
      <c r="BT14" s="404">
        <f t="shared" si="3"/>
        <v>0</v>
      </c>
      <c r="BU14" s="404">
        <f t="shared" si="4"/>
        <v>0</v>
      </c>
      <c r="BV14" s="404">
        <f t="shared" si="5"/>
        <v>0</v>
      </c>
      <c r="BW14" s="404">
        <f t="shared" si="6"/>
        <v>0</v>
      </c>
      <c r="BX14" s="404">
        <f t="shared" si="7"/>
        <v>0</v>
      </c>
      <c r="BY14" s="404">
        <f t="shared" si="8"/>
        <v>0</v>
      </c>
      <c r="BZ14" s="404">
        <f t="shared" si="9"/>
        <v>14</v>
      </c>
      <c r="CA14" s="404">
        <f t="shared" si="10"/>
        <v>0</v>
      </c>
      <c r="CB14" s="404">
        <f t="shared" si="11"/>
        <v>0</v>
      </c>
      <c r="CC14" s="404">
        <f t="shared" si="12"/>
        <v>0</v>
      </c>
      <c r="CD14" s="404">
        <f t="shared" si="13"/>
        <v>18.8</v>
      </c>
      <c r="CE14" s="404">
        <f t="shared" si="14"/>
        <v>0</v>
      </c>
      <c r="CF14" s="404">
        <f t="shared" si="15"/>
        <v>-3</v>
      </c>
      <c r="CG14" s="404">
        <f t="shared" si="16"/>
        <v>12</v>
      </c>
      <c r="CH14" s="404">
        <f t="shared" si="17"/>
        <v>-12</v>
      </c>
      <c r="CI14" s="404">
        <f t="shared" si="18"/>
        <v>51.4</v>
      </c>
      <c r="CJ14" s="404">
        <f t="shared" si="19"/>
        <v>0</v>
      </c>
      <c r="CK14" s="405">
        <f t="shared" si="20"/>
        <v>0</v>
      </c>
      <c r="CL14" s="403">
        <f t="shared" si="44"/>
        <v>0</v>
      </c>
      <c r="CM14" s="404">
        <f t="shared" si="45"/>
        <v>0</v>
      </c>
      <c r="CN14" s="404">
        <f t="shared" si="46"/>
        <v>7</v>
      </c>
      <c r="CO14" s="404">
        <f t="shared" si="47"/>
        <v>7</v>
      </c>
      <c r="CP14" s="404">
        <f t="shared" si="48"/>
        <v>7</v>
      </c>
      <c r="CQ14" s="404">
        <f t="shared" si="49"/>
        <v>7</v>
      </c>
      <c r="CR14" s="404">
        <f t="shared" si="50"/>
        <v>7</v>
      </c>
      <c r="CS14" s="404">
        <f t="shared" si="51"/>
        <v>7</v>
      </c>
      <c r="CT14" s="404">
        <f t="shared" si="52"/>
        <v>7</v>
      </c>
      <c r="CU14" s="404">
        <f t="shared" si="53"/>
        <v>21</v>
      </c>
      <c r="CV14" s="404">
        <f t="shared" si="54"/>
        <v>21</v>
      </c>
      <c r="CW14" s="404">
        <f t="shared" si="55"/>
        <v>21</v>
      </c>
      <c r="CX14" s="404">
        <f t="shared" si="56"/>
        <v>21</v>
      </c>
      <c r="CY14" s="404">
        <f t="shared" si="57"/>
        <v>39.799999999999997</v>
      </c>
      <c r="CZ14" s="404">
        <f t="shared" si="58"/>
        <v>39.799999999999997</v>
      </c>
      <c r="DA14" s="404">
        <f t="shared" si="59"/>
        <v>36.799999999999997</v>
      </c>
      <c r="DB14" s="404">
        <f t="shared" si="60"/>
        <v>48.8</v>
      </c>
      <c r="DC14" s="404">
        <f t="shared" si="61"/>
        <v>36.799999999999997</v>
      </c>
      <c r="DD14" s="404">
        <f t="shared" si="62"/>
        <v>88.199999999999989</v>
      </c>
      <c r="DE14" s="404">
        <f t="shared" si="63"/>
        <v>88.199999999999989</v>
      </c>
      <c r="DF14" s="405">
        <f t="shared" si="64"/>
        <v>88.199999999999989</v>
      </c>
      <c r="DG14" s="414" t="str">
        <f t="shared" si="22"/>
        <v>-</v>
      </c>
      <c r="DH14" s="415" t="str">
        <f t="shared" si="23"/>
        <v>-</v>
      </c>
      <c r="DI14" s="415">
        <f t="shared" si="24"/>
        <v>8</v>
      </c>
      <c r="DJ14" s="415">
        <f t="shared" si="25"/>
        <v>11</v>
      </c>
      <c r="DK14" s="415">
        <f t="shared" si="26"/>
        <v>12</v>
      </c>
      <c r="DL14" s="415">
        <f t="shared" si="27"/>
        <v>12</v>
      </c>
      <c r="DM14" s="415">
        <f t="shared" si="28"/>
        <v>14</v>
      </c>
      <c r="DN14" s="415">
        <f t="shared" si="29"/>
        <v>15</v>
      </c>
      <c r="DO14" s="415">
        <f t="shared" si="30"/>
        <v>17</v>
      </c>
      <c r="DP14" s="415">
        <f t="shared" si="31"/>
        <v>14</v>
      </c>
      <c r="DQ14" s="415">
        <f t="shared" si="32"/>
        <v>14</v>
      </c>
      <c r="DR14" s="415">
        <f t="shared" si="33"/>
        <v>16</v>
      </c>
      <c r="DS14" s="415">
        <f t="shared" si="34"/>
        <v>16</v>
      </c>
      <c r="DT14" s="415">
        <f t="shared" si="35"/>
        <v>14</v>
      </c>
      <c r="DU14" s="415">
        <f t="shared" si="36"/>
        <v>14</v>
      </c>
      <c r="DV14" s="415">
        <f t="shared" si="37"/>
        <v>15</v>
      </c>
      <c r="DW14" s="415">
        <f t="shared" si="38"/>
        <v>12</v>
      </c>
      <c r="DX14" s="415">
        <f t="shared" si="39"/>
        <v>16</v>
      </c>
      <c r="DY14" s="415">
        <f t="shared" si="40"/>
        <v>10</v>
      </c>
      <c r="DZ14" s="415">
        <f t="shared" si="41"/>
        <v>10</v>
      </c>
      <c r="EA14" s="416">
        <f t="shared" si="42"/>
        <v>10</v>
      </c>
    </row>
    <row r="15" spans="1:131" x14ac:dyDescent="0.2">
      <c r="A15" s="119"/>
      <c r="B15" s="157">
        <f t="shared" si="43"/>
        <v>13</v>
      </c>
      <c r="C15" s="158" t="s">
        <v>221</v>
      </c>
      <c r="D15" s="159" t="s">
        <v>189</v>
      </c>
      <c r="E15" s="409">
        <f>IF(ISNA(VLOOKUP($C15,Batting!$B$5:$M$103,3,FALSE)),0,(VLOOKUP($C15,Batting!$B$5:$M$103,3,FALSE)))</f>
        <v>1</v>
      </c>
      <c r="F15" s="403">
        <f>VLOOKUP($C15,Batting!$B$44:$BZ$75,17,0)</f>
        <v>0</v>
      </c>
      <c r="G15" s="404">
        <f>VLOOKUP($C15,Batting!$B$44:$BZ$75,20,0)</f>
        <v>0</v>
      </c>
      <c r="H15" s="404">
        <f>VLOOKUP($C15,Batting!$B$44:$BZ$75,23,0)</f>
        <v>0</v>
      </c>
      <c r="I15" s="404">
        <f>VLOOKUP($C15,Batting!$B$44:$BZ$75,26,0)</f>
        <v>0</v>
      </c>
      <c r="J15" s="404">
        <f>VLOOKUP($C15,Batting!$B$44:$BZ$75,29,0)</f>
        <v>0</v>
      </c>
      <c r="K15" s="404">
        <f>VLOOKUP($C15,Batting!$B$44:$BZ$75,32,0)</f>
        <v>0</v>
      </c>
      <c r="L15" s="404">
        <f>VLOOKUP($C15,Batting!$B$44:$BZ$75,35,0)</f>
        <v>0</v>
      </c>
      <c r="M15" s="404">
        <f>VLOOKUP($C15,Batting!$B$44:$BZ$75,38,0)</f>
        <v>0</v>
      </c>
      <c r="N15" s="404">
        <f>VLOOKUP($C15,Batting!$B$44:$BZ$75,41,0)</f>
        <v>4</v>
      </c>
      <c r="O15" s="404">
        <f>VLOOKUP($C15,Batting!$B$44:$BZ$75,44,0)</f>
        <v>0</v>
      </c>
      <c r="P15" s="404">
        <f>VLOOKUP($C15,Batting!$B$44:$BZ$75,47,0)</f>
        <v>0</v>
      </c>
      <c r="Q15" s="404">
        <f>VLOOKUP($C15,Batting!$B$44:$BZ$75,50,0)</f>
        <v>0</v>
      </c>
      <c r="R15" s="404">
        <f>VLOOKUP($C15,Batting!$B$44:$BZ$75,53,0)</f>
        <v>0</v>
      </c>
      <c r="S15" s="404">
        <f>VLOOKUP($C15,Batting!$B$44:$BZ$75,56,0)</f>
        <v>0</v>
      </c>
      <c r="T15" s="404">
        <f>VLOOKUP($C15,Batting!$B$44:$BZ$75,59,0)</f>
        <v>0</v>
      </c>
      <c r="U15" s="404">
        <f>VLOOKUP($C15,Batting!$B$44:$BZ$75,62,0)</f>
        <v>0</v>
      </c>
      <c r="V15" s="404">
        <f>VLOOKUP($C15,Batting!$B$44:$BZ$75,65,0)</f>
        <v>0</v>
      </c>
      <c r="W15" s="404">
        <f>VLOOKUP($C15,Batting!$B$44:$BZ$75,68,0)</f>
        <v>0</v>
      </c>
      <c r="X15" s="404">
        <f>VLOOKUP($C15,Batting!$B$44:$BZ$75,71,0)</f>
        <v>0</v>
      </c>
      <c r="Y15" s="404">
        <f>VLOOKUP($C15,Batting!$B$44:$BZ$75,74,0)</f>
        <v>0</v>
      </c>
      <c r="Z15" s="405">
        <f>VLOOKUP($C15,Batting!$B$44:$BZ$75,77,0)</f>
        <v>0</v>
      </c>
      <c r="AA15" s="403">
        <f>_xlfn.IFNA(VLOOKUP($C15,Bowling!$B$39:$DX$66,24,0),0)</f>
        <v>0</v>
      </c>
      <c r="AB15" s="404">
        <f>_xlfn.IFNA(VLOOKUP($C15,Bowling!$B$39:$DX$66,29,0),0)</f>
        <v>0</v>
      </c>
      <c r="AC15" s="404">
        <f>_xlfn.IFNA(VLOOKUP($C15,Bowling!$B$39:$DX$66,34,0),0)</f>
        <v>0</v>
      </c>
      <c r="AD15" s="404">
        <f>_xlfn.IFNA(VLOOKUP($C15,Bowling!$B$39:$DX$66,39,0),0)</f>
        <v>0</v>
      </c>
      <c r="AE15" s="404">
        <f>_xlfn.IFNA(VLOOKUP($C15,Bowling!$B$39:$DX$66,44,0),0)</f>
        <v>0</v>
      </c>
      <c r="AF15" s="404">
        <f>_xlfn.IFNA(VLOOKUP($C15,Bowling!$B$39:$DX$66,49,0),0)</f>
        <v>0</v>
      </c>
      <c r="AG15" s="404">
        <f>_xlfn.IFNA(VLOOKUP($C15,Bowling!$B$39:$DX$66,54,0),0)</f>
        <v>0</v>
      </c>
      <c r="AH15" s="404">
        <f>_xlfn.IFNA(VLOOKUP($C15,Bowling!$B$39:$DX$66,59,0),0)</f>
        <v>0</v>
      </c>
      <c r="AI15" s="404">
        <f>_xlfn.IFNA(VLOOKUP($C15,Bowling!$B$39:$DX$66,64,0),0)</f>
        <v>34.799999999999997</v>
      </c>
      <c r="AJ15" s="404">
        <f>_xlfn.IFNA(VLOOKUP($C15,Bowling!$B$39:$DX$66,69,0),0)</f>
        <v>0</v>
      </c>
      <c r="AK15" s="404">
        <f>_xlfn.IFNA(VLOOKUP($C15,Bowling!$B$39:$DX$66,74,0),0)</f>
        <v>0</v>
      </c>
      <c r="AL15" s="404">
        <f>_xlfn.IFNA(VLOOKUP($C15,Bowling!$B$39:$DX$66,79,0),0)</f>
        <v>0</v>
      </c>
      <c r="AM15" s="404">
        <f>_xlfn.IFNA(VLOOKUP($C15,Bowling!$B$39:$DX$66,84,0),0)</f>
        <v>0</v>
      </c>
      <c r="AN15" s="404">
        <f>_xlfn.IFNA(VLOOKUP($C15,Bowling!$B$39:$DX$66,89,0),0)</f>
        <v>0</v>
      </c>
      <c r="AO15" s="404">
        <f>_xlfn.IFNA(VLOOKUP($C15,Bowling!$B$39:$DX$66,94,0),0)</f>
        <v>0</v>
      </c>
      <c r="AP15" s="404">
        <f>_xlfn.IFNA(VLOOKUP($C15,Bowling!$B$39:$DX$66,99,0),0)</f>
        <v>0</v>
      </c>
      <c r="AQ15" s="404">
        <f>_xlfn.IFNA(VLOOKUP($C15,Bowling!$B$39:$DX$66,104,0),0)</f>
        <v>0</v>
      </c>
      <c r="AR15" s="404">
        <f>_xlfn.IFNA(VLOOKUP($C15,Bowling!$B$39:$DX$66,109,0),0)</f>
        <v>0</v>
      </c>
      <c r="AS15" s="404">
        <f>_xlfn.IFNA(VLOOKUP($C15,Bowling!$B$39:$DX$66,114,0),0)</f>
        <v>0</v>
      </c>
      <c r="AT15" s="404">
        <f>_xlfn.IFNA(VLOOKUP($C15,Bowling!$B$39:$DX$66,119,0),0)</f>
        <v>0</v>
      </c>
      <c r="AU15" s="405">
        <f>_xlfn.IFNA(VLOOKUP($C15,Bowling!$B$39:$DX$66,124,0),0)</f>
        <v>0</v>
      </c>
      <c r="AV15" s="403">
        <f>_xlfn.IFNA(VLOOKUP($C15,Fielding!$B$23:$CN$36,8,0),0)</f>
        <v>0</v>
      </c>
      <c r="AW15" s="404">
        <f>_xlfn.IFNA(VLOOKUP($C15,Fielding!$B$23:$CN$36,12,0),0)</f>
        <v>0</v>
      </c>
      <c r="AX15" s="404">
        <f>_xlfn.IFNA(VLOOKUP($C15,Fielding!$B$23:$CN$36,16,0),0)</f>
        <v>0</v>
      </c>
      <c r="AY15" s="404">
        <f>_xlfn.IFNA(VLOOKUP($C15,Fielding!$B$23:$CN$36,20,0),0)</f>
        <v>0</v>
      </c>
      <c r="AZ15" s="404">
        <f>_xlfn.IFNA(VLOOKUP($C15,Fielding!$B$23:$CN$36,24,0),0)</f>
        <v>0</v>
      </c>
      <c r="BA15" s="404">
        <f>_xlfn.IFNA(VLOOKUP($C15,Fielding!$B$23:$CN$36,28,0),0)</f>
        <v>0</v>
      </c>
      <c r="BB15" s="404">
        <f>_xlfn.IFNA(VLOOKUP($C15,Fielding!$B$23:$CN$36,32,0),0)</f>
        <v>0</v>
      </c>
      <c r="BC15" s="404">
        <f>_xlfn.IFNA(VLOOKUP($C15,Fielding!$B$23:$CN$36,36,0),0)</f>
        <v>0</v>
      </c>
      <c r="BD15" s="404">
        <f>_xlfn.IFNA(VLOOKUP($C15,Fielding!$B$23:$CN$36,40,0),0)</f>
        <v>8</v>
      </c>
      <c r="BE15" s="404">
        <f>_xlfn.IFNA(VLOOKUP($C15,Fielding!$B$23:$CN$36,44,0),0)</f>
        <v>0</v>
      </c>
      <c r="BF15" s="404">
        <f>_xlfn.IFNA(VLOOKUP($C15,Fielding!$B$23:$CN$36,48,0),0)</f>
        <v>0</v>
      </c>
      <c r="BG15" s="404">
        <f>_xlfn.IFNA(VLOOKUP($C15,Fielding!$B$23:$CN$36,52,0),0)</f>
        <v>0</v>
      </c>
      <c r="BH15" s="404">
        <f>_xlfn.IFNA(VLOOKUP($C15,Fielding!$B$23:$CN$36,56,0),0)</f>
        <v>0</v>
      </c>
      <c r="BI15" s="404">
        <f>_xlfn.IFNA(VLOOKUP($C15,Fielding!$B$23:$CN$36,60,0),0)</f>
        <v>0</v>
      </c>
      <c r="BJ15" s="404">
        <f>_xlfn.IFNA(VLOOKUP($C15,Fielding!$B$23:$CN$36,64,0),0)</f>
        <v>0</v>
      </c>
      <c r="BK15" s="404">
        <f>_xlfn.IFNA(VLOOKUP($C15,Fielding!$B$23:$CN$36,68,0),0)</f>
        <v>0</v>
      </c>
      <c r="BL15" s="404">
        <f>_xlfn.IFNA(VLOOKUP($C15,Fielding!$B$23:$CN$36,72,0),0)</f>
        <v>0</v>
      </c>
      <c r="BM15" s="404">
        <f>_xlfn.IFNA(VLOOKUP($C15,Fielding!$B$23:$CN$36,76,0),0)</f>
        <v>0</v>
      </c>
      <c r="BN15" s="404">
        <f>_xlfn.IFNA(VLOOKUP($C15,Fielding!$B$23:$CN$36,80,0),0)</f>
        <v>0</v>
      </c>
      <c r="BO15" s="404">
        <f>_xlfn.IFNA(VLOOKUP($C15,Fielding!$B$23:$CN$36,84,0),0)</f>
        <v>0</v>
      </c>
      <c r="BP15" s="405">
        <f>_xlfn.IFNA(VLOOKUP($C15,Fielding!$B$23:$CN$36,88,0),0)</f>
        <v>0</v>
      </c>
      <c r="BQ15" s="403">
        <f t="shared" si="0"/>
        <v>0</v>
      </c>
      <c r="BR15" s="404">
        <f t="shared" si="1"/>
        <v>0</v>
      </c>
      <c r="BS15" s="404">
        <f t="shared" si="2"/>
        <v>0</v>
      </c>
      <c r="BT15" s="404">
        <f t="shared" si="3"/>
        <v>0</v>
      </c>
      <c r="BU15" s="404">
        <f t="shared" si="4"/>
        <v>0</v>
      </c>
      <c r="BV15" s="404">
        <f t="shared" si="5"/>
        <v>0</v>
      </c>
      <c r="BW15" s="404">
        <f t="shared" si="6"/>
        <v>0</v>
      </c>
      <c r="BX15" s="404">
        <f t="shared" si="7"/>
        <v>0</v>
      </c>
      <c r="BY15" s="404">
        <f t="shared" si="8"/>
        <v>46.8</v>
      </c>
      <c r="BZ15" s="404">
        <f t="shared" si="9"/>
        <v>0</v>
      </c>
      <c r="CA15" s="404">
        <f t="shared" si="10"/>
        <v>0</v>
      </c>
      <c r="CB15" s="404">
        <f t="shared" si="11"/>
        <v>0</v>
      </c>
      <c r="CC15" s="404">
        <f t="shared" si="12"/>
        <v>0</v>
      </c>
      <c r="CD15" s="404">
        <f t="shared" si="13"/>
        <v>0</v>
      </c>
      <c r="CE15" s="404">
        <f t="shared" si="14"/>
        <v>0</v>
      </c>
      <c r="CF15" s="404">
        <f t="shared" si="15"/>
        <v>0</v>
      </c>
      <c r="CG15" s="404">
        <f t="shared" si="16"/>
        <v>0</v>
      </c>
      <c r="CH15" s="404">
        <f t="shared" si="17"/>
        <v>0</v>
      </c>
      <c r="CI15" s="404">
        <f t="shared" si="18"/>
        <v>0</v>
      </c>
      <c r="CJ15" s="404">
        <f t="shared" si="19"/>
        <v>0</v>
      </c>
      <c r="CK15" s="405">
        <f t="shared" si="20"/>
        <v>0</v>
      </c>
      <c r="CL15" s="403">
        <f t="shared" si="44"/>
        <v>0</v>
      </c>
      <c r="CM15" s="404">
        <f t="shared" si="45"/>
        <v>0</v>
      </c>
      <c r="CN15" s="404">
        <f t="shared" si="46"/>
        <v>0</v>
      </c>
      <c r="CO15" s="404">
        <f t="shared" si="47"/>
        <v>0</v>
      </c>
      <c r="CP15" s="404">
        <f t="shared" si="48"/>
        <v>0</v>
      </c>
      <c r="CQ15" s="404">
        <f t="shared" si="49"/>
        <v>0</v>
      </c>
      <c r="CR15" s="404">
        <f t="shared" si="50"/>
        <v>0</v>
      </c>
      <c r="CS15" s="404">
        <f t="shared" si="51"/>
        <v>0</v>
      </c>
      <c r="CT15" s="404">
        <f t="shared" si="52"/>
        <v>46.8</v>
      </c>
      <c r="CU15" s="404">
        <f t="shared" si="53"/>
        <v>46.8</v>
      </c>
      <c r="CV15" s="404">
        <f t="shared" si="54"/>
        <v>46.8</v>
      </c>
      <c r="CW15" s="404">
        <f t="shared" si="55"/>
        <v>46.8</v>
      </c>
      <c r="CX15" s="404">
        <f t="shared" si="56"/>
        <v>46.8</v>
      </c>
      <c r="CY15" s="404">
        <f t="shared" si="57"/>
        <v>46.8</v>
      </c>
      <c r="CZ15" s="404">
        <f t="shared" si="58"/>
        <v>46.8</v>
      </c>
      <c r="DA15" s="404">
        <f t="shared" si="59"/>
        <v>46.8</v>
      </c>
      <c r="DB15" s="404">
        <f t="shared" si="60"/>
        <v>46.8</v>
      </c>
      <c r="DC15" s="404">
        <f t="shared" si="61"/>
        <v>46.8</v>
      </c>
      <c r="DD15" s="404">
        <f t="shared" si="62"/>
        <v>46.8</v>
      </c>
      <c r="DE15" s="404">
        <f t="shared" si="63"/>
        <v>46.8</v>
      </c>
      <c r="DF15" s="405">
        <f t="shared" si="64"/>
        <v>46.8</v>
      </c>
      <c r="DG15" s="414" t="str">
        <f t="shared" si="22"/>
        <v>-</v>
      </c>
      <c r="DH15" s="415" t="str">
        <f t="shared" si="23"/>
        <v>-</v>
      </c>
      <c r="DI15" s="415" t="str">
        <f t="shared" si="24"/>
        <v>-</v>
      </c>
      <c r="DJ15" s="415" t="str">
        <f t="shared" si="25"/>
        <v>-</v>
      </c>
      <c r="DK15" s="415" t="str">
        <f t="shared" si="26"/>
        <v>-</v>
      </c>
      <c r="DL15" s="415" t="str">
        <f t="shared" si="27"/>
        <v>-</v>
      </c>
      <c r="DM15" s="415" t="str">
        <f t="shared" si="28"/>
        <v>-</v>
      </c>
      <c r="DN15" s="415" t="str">
        <f t="shared" si="29"/>
        <v>-</v>
      </c>
      <c r="DO15" s="415">
        <f t="shared" si="30"/>
        <v>10</v>
      </c>
      <c r="DP15" s="415">
        <f t="shared" si="31"/>
        <v>10</v>
      </c>
      <c r="DQ15" s="415">
        <f t="shared" si="32"/>
        <v>10</v>
      </c>
      <c r="DR15" s="415">
        <f t="shared" si="33"/>
        <v>12</v>
      </c>
      <c r="DS15" s="415">
        <f t="shared" si="34"/>
        <v>12</v>
      </c>
      <c r="DT15" s="415">
        <f t="shared" si="35"/>
        <v>12</v>
      </c>
      <c r="DU15" s="415">
        <f t="shared" si="36"/>
        <v>12</v>
      </c>
      <c r="DV15" s="415">
        <f t="shared" si="37"/>
        <v>12</v>
      </c>
      <c r="DW15" s="415">
        <f t="shared" si="38"/>
        <v>13</v>
      </c>
      <c r="DX15" s="415">
        <f t="shared" si="39"/>
        <v>12</v>
      </c>
      <c r="DY15" s="415">
        <f t="shared" si="40"/>
        <v>13</v>
      </c>
      <c r="DZ15" s="415">
        <f t="shared" si="41"/>
        <v>13</v>
      </c>
      <c r="EA15" s="416">
        <f t="shared" si="42"/>
        <v>13</v>
      </c>
    </row>
    <row r="16" spans="1:131" x14ac:dyDescent="0.2">
      <c r="A16" s="119"/>
      <c r="B16" s="157">
        <f t="shared" si="43"/>
        <v>14</v>
      </c>
      <c r="C16" s="158" t="s">
        <v>267</v>
      </c>
      <c r="D16" s="159" t="s">
        <v>189</v>
      </c>
      <c r="E16" s="409">
        <f>IF(ISNA(VLOOKUP($C16,Batting!$B$5:$M$103,3,FALSE)),0,(VLOOKUP($C16,Batting!$B$5:$M$103,3,FALSE)))</f>
        <v>1</v>
      </c>
      <c r="F16" s="403">
        <f>VLOOKUP($C16,Batting!$B$44:$BZ$75,17,0)</f>
        <v>0</v>
      </c>
      <c r="G16" s="404">
        <f>VLOOKUP($C16,Batting!$B$44:$BZ$75,20,0)</f>
        <v>0</v>
      </c>
      <c r="H16" s="404">
        <f>VLOOKUP($C16,Batting!$B$44:$BZ$75,23,0)</f>
        <v>22</v>
      </c>
      <c r="I16" s="404">
        <f>VLOOKUP($C16,Batting!$B$44:$BZ$75,26,0)</f>
        <v>0</v>
      </c>
      <c r="J16" s="404">
        <f>VLOOKUP($C16,Batting!$B$44:$BZ$75,29,0)</f>
        <v>0</v>
      </c>
      <c r="K16" s="404">
        <f>VLOOKUP($C16,Batting!$B$44:$BZ$75,32,0)</f>
        <v>0</v>
      </c>
      <c r="L16" s="404">
        <f>VLOOKUP($C16,Batting!$B$44:$BZ$75,35,0)</f>
        <v>0</v>
      </c>
      <c r="M16" s="404">
        <f>VLOOKUP($C16,Batting!$B$44:$BZ$75,38,0)</f>
        <v>0</v>
      </c>
      <c r="N16" s="404">
        <f>VLOOKUP($C16,Batting!$B$44:$BZ$75,41,0)</f>
        <v>0</v>
      </c>
      <c r="O16" s="404">
        <f>VLOOKUP($C16,Batting!$B$44:$BZ$75,44,0)</f>
        <v>0</v>
      </c>
      <c r="P16" s="404">
        <f>VLOOKUP($C16,Batting!$B$44:$BZ$75,47,0)</f>
        <v>0</v>
      </c>
      <c r="Q16" s="404">
        <f>VLOOKUP($C16,Batting!$B$44:$BZ$75,50,0)</f>
        <v>0</v>
      </c>
      <c r="R16" s="404">
        <f>VLOOKUP($C16,Batting!$B$44:$BZ$75,53,0)</f>
        <v>0</v>
      </c>
      <c r="S16" s="404">
        <f>VLOOKUP($C16,Batting!$B$44:$BZ$75,56,0)</f>
        <v>0</v>
      </c>
      <c r="T16" s="404">
        <f>VLOOKUP($C16,Batting!$B$44:$BZ$75,59,0)</f>
        <v>0</v>
      </c>
      <c r="U16" s="404">
        <f>VLOOKUP($C16,Batting!$B$44:$BZ$75,62,0)</f>
        <v>0</v>
      </c>
      <c r="V16" s="404">
        <f>VLOOKUP($C16,Batting!$B$44:$BZ$75,65,0)</f>
        <v>0</v>
      </c>
      <c r="W16" s="404">
        <f>VLOOKUP($C16,Batting!$B$44:$BZ$75,68,0)</f>
        <v>0</v>
      </c>
      <c r="X16" s="404">
        <f>VLOOKUP($C16,Batting!$B$44:$BZ$75,71,0)</f>
        <v>0</v>
      </c>
      <c r="Y16" s="404">
        <f>VLOOKUP($C16,Batting!$B$44:$BZ$75,74,0)</f>
        <v>0</v>
      </c>
      <c r="Z16" s="405">
        <f>VLOOKUP($C16,Batting!$B$44:$BZ$75,77,0)</f>
        <v>0</v>
      </c>
      <c r="AA16" s="403">
        <f>_xlfn.IFNA(VLOOKUP($C16,Bowling!$B$39:$DX$66,24,0),0)</f>
        <v>0</v>
      </c>
      <c r="AB16" s="404">
        <f>_xlfn.IFNA(VLOOKUP($C16,Bowling!$B$39:$DX$66,29,0),0)</f>
        <v>0</v>
      </c>
      <c r="AC16" s="404">
        <f>_xlfn.IFNA(VLOOKUP($C16,Bowling!$B$39:$DX$66,34,0),0)</f>
        <v>16.600000000000001</v>
      </c>
      <c r="AD16" s="404">
        <f>_xlfn.IFNA(VLOOKUP($C16,Bowling!$B$39:$DX$66,39,0),0)</f>
        <v>0</v>
      </c>
      <c r="AE16" s="404">
        <f>_xlfn.IFNA(VLOOKUP($C16,Bowling!$B$39:$DX$66,44,0),0)</f>
        <v>0</v>
      </c>
      <c r="AF16" s="404">
        <f>_xlfn.IFNA(VLOOKUP($C16,Bowling!$B$39:$DX$66,49,0),0)</f>
        <v>0</v>
      </c>
      <c r="AG16" s="404">
        <f>_xlfn.IFNA(VLOOKUP($C16,Bowling!$B$39:$DX$66,54,0),0)</f>
        <v>0</v>
      </c>
      <c r="AH16" s="404">
        <f>_xlfn.IFNA(VLOOKUP($C16,Bowling!$B$39:$DX$66,59,0),0)</f>
        <v>0</v>
      </c>
      <c r="AI16" s="404">
        <f>_xlfn.IFNA(VLOOKUP($C16,Bowling!$B$39:$DX$66,64,0),0)</f>
        <v>0</v>
      </c>
      <c r="AJ16" s="404">
        <f>_xlfn.IFNA(VLOOKUP($C16,Bowling!$B$39:$DX$66,69,0),0)</f>
        <v>0</v>
      </c>
      <c r="AK16" s="404">
        <f>_xlfn.IFNA(VLOOKUP($C16,Bowling!$B$39:$DX$66,74,0),0)</f>
        <v>0</v>
      </c>
      <c r="AL16" s="404">
        <f>_xlfn.IFNA(VLOOKUP($C16,Bowling!$B$39:$DX$66,79,0),0)</f>
        <v>0</v>
      </c>
      <c r="AM16" s="404">
        <f>_xlfn.IFNA(VLOOKUP($C16,Bowling!$B$39:$DX$66,84,0),0)</f>
        <v>0</v>
      </c>
      <c r="AN16" s="404">
        <f>_xlfn.IFNA(VLOOKUP($C16,Bowling!$B$39:$DX$66,89,0),0)</f>
        <v>0</v>
      </c>
      <c r="AO16" s="404">
        <f>_xlfn.IFNA(VLOOKUP($C16,Bowling!$B$39:$DX$66,94,0),0)</f>
        <v>0</v>
      </c>
      <c r="AP16" s="404">
        <f>_xlfn.IFNA(VLOOKUP($C16,Bowling!$B$39:$DX$66,99,0),0)</f>
        <v>0</v>
      </c>
      <c r="AQ16" s="404">
        <f>_xlfn.IFNA(VLOOKUP($C16,Bowling!$B$39:$DX$66,104,0),0)</f>
        <v>0</v>
      </c>
      <c r="AR16" s="404">
        <f>_xlfn.IFNA(VLOOKUP($C16,Bowling!$B$39:$DX$66,109,0),0)</f>
        <v>0</v>
      </c>
      <c r="AS16" s="404">
        <f>_xlfn.IFNA(VLOOKUP($C16,Bowling!$B$39:$DX$66,114,0),0)</f>
        <v>0</v>
      </c>
      <c r="AT16" s="404">
        <f>_xlfn.IFNA(VLOOKUP($C16,Bowling!$B$39:$DX$66,119,0),0)</f>
        <v>0</v>
      </c>
      <c r="AU16" s="405">
        <f>_xlfn.IFNA(VLOOKUP($C16,Bowling!$B$39:$DX$66,124,0),0)</f>
        <v>0</v>
      </c>
      <c r="AV16" s="403">
        <f>_xlfn.IFNA(VLOOKUP($C16,Fielding!$B$23:$CN$36,8,0),0)</f>
        <v>0</v>
      </c>
      <c r="AW16" s="404">
        <f>_xlfn.IFNA(VLOOKUP($C16,Fielding!$B$23:$CN$36,12,0),0)</f>
        <v>0</v>
      </c>
      <c r="AX16" s="404">
        <f>_xlfn.IFNA(VLOOKUP($C16,Fielding!$B$23:$CN$36,16,0),0)</f>
        <v>8</v>
      </c>
      <c r="AY16" s="404">
        <f>_xlfn.IFNA(VLOOKUP($C16,Fielding!$B$23:$CN$36,20,0),0)</f>
        <v>0</v>
      </c>
      <c r="AZ16" s="404">
        <f>_xlfn.IFNA(VLOOKUP($C16,Fielding!$B$23:$CN$36,24,0),0)</f>
        <v>0</v>
      </c>
      <c r="BA16" s="404">
        <f>_xlfn.IFNA(VLOOKUP($C16,Fielding!$B$23:$CN$36,28,0),0)</f>
        <v>0</v>
      </c>
      <c r="BB16" s="404">
        <f>_xlfn.IFNA(VLOOKUP($C16,Fielding!$B$23:$CN$36,32,0),0)</f>
        <v>0</v>
      </c>
      <c r="BC16" s="404">
        <f>_xlfn.IFNA(VLOOKUP($C16,Fielding!$B$23:$CN$36,36,0),0)</f>
        <v>0</v>
      </c>
      <c r="BD16" s="404">
        <f>_xlfn.IFNA(VLOOKUP($C16,Fielding!$B$23:$CN$36,40,0),0)</f>
        <v>0</v>
      </c>
      <c r="BE16" s="404">
        <f>_xlfn.IFNA(VLOOKUP($C16,Fielding!$B$23:$CN$36,44,0),0)</f>
        <v>0</v>
      </c>
      <c r="BF16" s="404">
        <f>_xlfn.IFNA(VLOOKUP($C16,Fielding!$B$23:$CN$36,48,0),0)</f>
        <v>0</v>
      </c>
      <c r="BG16" s="404">
        <f>_xlfn.IFNA(VLOOKUP($C16,Fielding!$B$23:$CN$36,52,0),0)</f>
        <v>0</v>
      </c>
      <c r="BH16" s="404">
        <f>_xlfn.IFNA(VLOOKUP($C16,Fielding!$B$23:$CN$36,56,0),0)</f>
        <v>0</v>
      </c>
      <c r="BI16" s="404">
        <f>_xlfn.IFNA(VLOOKUP($C16,Fielding!$B$23:$CN$36,60,0),0)</f>
        <v>0</v>
      </c>
      <c r="BJ16" s="404">
        <f>_xlfn.IFNA(VLOOKUP($C16,Fielding!$B$23:$CN$36,64,0),0)</f>
        <v>0</v>
      </c>
      <c r="BK16" s="404">
        <f>_xlfn.IFNA(VLOOKUP($C16,Fielding!$B$23:$CN$36,68,0),0)</f>
        <v>0</v>
      </c>
      <c r="BL16" s="404">
        <f>_xlfn.IFNA(VLOOKUP($C16,Fielding!$B$23:$CN$36,72,0),0)</f>
        <v>0</v>
      </c>
      <c r="BM16" s="404">
        <f>_xlfn.IFNA(VLOOKUP($C16,Fielding!$B$23:$CN$36,76,0),0)</f>
        <v>0</v>
      </c>
      <c r="BN16" s="404">
        <f>_xlfn.IFNA(VLOOKUP($C16,Fielding!$B$23:$CN$36,80,0),0)</f>
        <v>0</v>
      </c>
      <c r="BO16" s="404">
        <f>_xlfn.IFNA(VLOOKUP($C16,Fielding!$B$23:$CN$36,84,0),0)</f>
        <v>0</v>
      </c>
      <c r="BP16" s="405">
        <f>_xlfn.IFNA(VLOOKUP($C16,Fielding!$B$23:$CN$36,88,0),0)</f>
        <v>0</v>
      </c>
      <c r="BQ16" s="403">
        <f t="shared" si="0"/>
        <v>0</v>
      </c>
      <c r="BR16" s="404">
        <f t="shared" si="1"/>
        <v>0</v>
      </c>
      <c r="BS16" s="404">
        <f t="shared" si="2"/>
        <v>46.6</v>
      </c>
      <c r="BT16" s="404">
        <f t="shared" si="3"/>
        <v>0</v>
      </c>
      <c r="BU16" s="404">
        <f t="shared" si="4"/>
        <v>0</v>
      </c>
      <c r="BV16" s="404">
        <f t="shared" si="5"/>
        <v>0</v>
      </c>
      <c r="BW16" s="404">
        <f t="shared" si="6"/>
        <v>0</v>
      </c>
      <c r="BX16" s="404">
        <f t="shared" si="7"/>
        <v>0</v>
      </c>
      <c r="BY16" s="404">
        <f t="shared" si="8"/>
        <v>0</v>
      </c>
      <c r="BZ16" s="404">
        <f t="shared" si="9"/>
        <v>0</v>
      </c>
      <c r="CA16" s="404">
        <f t="shared" si="10"/>
        <v>0</v>
      </c>
      <c r="CB16" s="404">
        <f t="shared" si="11"/>
        <v>0</v>
      </c>
      <c r="CC16" s="404">
        <f t="shared" si="12"/>
        <v>0</v>
      </c>
      <c r="CD16" s="404">
        <f t="shared" si="13"/>
        <v>0</v>
      </c>
      <c r="CE16" s="404">
        <f t="shared" si="14"/>
        <v>0</v>
      </c>
      <c r="CF16" s="404">
        <f t="shared" si="15"/>
        <v>0</v>
      </c>
      <c r="CG16" s="404">
        <f t="shared" si="16"/>
        <v>0</v>
      </c>
      <c r="CH16" s="404">
        <f t="shared" si="17"/>
        <v>0</v>
      </c>
      <c r="CI16" s="404">
        <f t="shared" si="18"/>
        <v>0</v>
      </c>
      <c r="CJ16" s="404">
        <f t="shared" si="19"/>
        <v>0</v>
      </c>
      <c r="CK16" s="405">
        <f t="shared" si="20"/>
        <v>0</v>
      </c>
      <c r="CL16" s="403">
        <f t="shared" si="44"/>
        <v>0</v>
      </c>
      <c r="CM16" s="404">
        <f t="shared" si="45"/>
        <v>0</v>
      </c>
      <c r="CN16" s="404">
        <f t="shared" si="46"/>
        <v>46.6</v>
      </c>
      <c r="CO16" s="404">
        <f t="shared" si="47"/>
        <v>46.6</v>
      </c>
      <c r="CP16" s="404">
        <f t="shared" si="48"/>
        <v>46.6</v>
      </c>
      <c r="CQ16" s="404">
        <f t="shared" si="49"/>
        <v>46.6</v>
      </c>
      <c r="CR16" s="404">
        <f t="shared" si="50"/>
        <v>46.6</v>
      </c>
      <c r="CS16" s="404">
        <f t="shared" si="51"/>
        <v>46.6</v>
      </c>
      <c r="CT16" s="404">
        <f t="shared" si="52"/>
        <v>46.6</v>
      </c>
      <c r="CU16" s="404">
        <f t="shared" si="53"/>
        <v>46.6</v>
      </c>
      <c r="CV16" s="404">
        <f t="shared" si="54"/>
        <v>46.6</v>
      </c>
      <c r="CW16" s="404">
        <f t="shared" si="55"/>
        <v>46.6</v>
      </c>
      <c r="CX16" s="404">
        <f t="shared" si="56"/>
        <v>46.6</v>
      </c>
      <c r="CY16" s="404">
        <f t="shared" si="57"/>
        <v>46.6</v>
      </c>
      <c r="CZ16" s="404">
        <f t="shared" si="58"/>
        <v>46.6</v>
      </c>
      <c r="DA16" s="404">
        <f t="shared" si="59"/>
        <v>46.6</v>
      </c>
      <c r="DB16" s="404">
        <f t="shared" si="60"/>
        <v>46.6</v>
      </c>
      <c r="DC16" s="404">
        <f t="shared" si="61"/>
        <v>46.6</v>
      </c>
      <c r="DD16" s="404">
        <f t="shared" si="62"/>
        <v>46.6</v>
      </c>
      <c r="DE16" s="404">
        <f t="shared" si="63"/>
        <v>46.6</v>
      </c>
      <c r="DF16" s="405">
        <f t="shared" si="64"/>
        <v>46.6</v>
      </c>
      <c r="DG16" s="414" t="str">
        <f t="shared" si="22"/>
        <v>-</v>
      </c>
      <c r="DH16" s="415" t="str">
        <f t="shared" si="23"/>
        <v>-</v>
      </c>
      <c r="DI16" s="415">
        <f t="shared" si="24"/>
        <v>2</v>
      </c>
      <c r="DJ16" s="415">
        <f t="shared" si="25"/>
        <v>6</v>
      </c>
      <c r="DK16" s="415">
        <f t="shared" si="26"/>
        <v>8</v>
      </c>
      <c r="DL16" s="415">
        <f t="shared" si="27"/>
        <v>8</v>
      </c>
      <c r="DM16" s="415">
        <f t="shared" si="28"/>
        <v>9</v>
      </c>
      <c r="DN16" s="415">
        <f t="shared" si="29"/>
        <v>9</v>
      </c>
      <c r="DO16" s="415">
        <f t="shared" si="30"/>
        <v>11</v>
      </c>
      <c r="DP16" s="415">
        <f t="shared" si="31"/>
        <v>11</v>
      </c>
      <c r="DQ16" s="415">
        <f t="shared" si="32"/>
        <v>11</v>
      </c>
      <c r="DR16" s="415">
        <f t="shared" si="33"/>
        <v>13</v>
      </c>
      <c r="DS16" s="415">
        <f t="shared" si="34"/>
        <v>13</v>
      </c>
      <c r="DT16" s="415">
        <f t="shared" si="35"/>
        <v>13</v>
      </c>
      <c r="DU16" s="415">
        <f t="shared" si="36"/>
        <v>13</v>
      </c>
      <c r="DV16" s="415">
        <f t="shared" si="37"/>
        <v>13</v>
      </c>
      <c r="DW16" s="415">
        <f t="shared" si="38"/>
        <v>14</v>
      </c>
      <c r="DX16" s="415">
        <f t="shared" si="39"/>
        <v>13</v>
      </c>
      <c r="DY16" s="415">
        <f t="shared" si="40"/>
        <v>14</v>
      </c>
      <c r="DZ16" s="415">
        <f t="shared" si="41"/>
        <v>14</v>
      </c>
      <c r="EA16" s="416">
        <f t="shared" si="42"/>
        <v>14</v>
      </c>
    </row>
    <row r="17" spans="1:131" x14ac:dyDescent="0.2">
      <c r="A17" s="119"/>
      <c r="B17" s="157">
        <f t="shared" si="43"/>
        <v>15</v>
      </c>
      <c r="C17" s="158" t="s">
        <v>138</v>
      </c>
      <c r="D17" s="159" t="s">
        <v>193</v>
      </c>
      <c r="E17" s="409">
        <f>IF(ISNA(VLOOKUP($C17,Batting!$B$5:$M$103,3,FALSE)),0,(VLOOKUP($C17,Batting!$B$5:$M$103,3,FALSE)))</f>
        <v>2</v>
      </c>
      <c r="F17" s="403">
        <f>VLOOKUP($C17,Batting!$B$44:$BZ$75,17,0)</f>
        <v>0</v>
      </c>
      <c r="G17" s="404">
        <f>VLOOKUP($C17,Batting!$B$44:$BZ$75,20,0)</f>
        <v>0</v>
      </c>
      <c r="H17" s="404">
        <f>VLOOKUP($C17,Batting!$B$44:$BZ$75,23,0)</f>
        <v>0</v>
      </c>
      <c r="I17" s="404">
        <f>VLOOKUP($C17,Batting!$B$44:$BZ$75,26,0)</f>
        <v>0</v>
      </c>
      <c r="J17" s="404">
        <f>VLOOKUP($C17,Batting!$B$44:$BZ$75,29,0)</f>
        <v>-7</v>
      </c>
      <c r="K17" s="404">
        <f>VLOOKUP($C17,Batting!$B$44:$BZ$75,32,0)</f>
        <v>0</v>
      </c>
      <c r="L17" s="404">
        <f>VLOOKUP($C17,Batting!$B$44:$BZ$75,35,0)</f>
        <v>0</v>
      </c>
      <c r="M17" s="404">
        <f>VLOOKUP($C17,Batting!$B$44:$BZ$75,38,0)</f>
        <v>0</v>
      </c>
      <c r="N17" s="404">
        <f>VLOOKUP($C17,Batting!$B$44:$BZ$75,41,0)</f>
        <v>0</v>
      </c>
      <c r="O17" s="404">
        <f>VLOOKUP($C17,Batting!$B$44:$BZ$75,44,0)</f>
        <v>8</v>
      </c>
      <c r="P17" s="404">
        <f>VLOOKUP($C17,Batting!$B$44:$BZ$75,47,0)</f>
        <v>0</v>
      </c>
      <c r="Q17" s="404">
        <f>VLOOKUP($C17,Batting!$B$44:$BZ$75,50,0)</f>
        <v>0</v>
      </c>
      <c r="R17" s="404">
        <f>VLOOKUP($C17,Batting!$B$44:$BZ$75,53,0)</f>
        <v>0</v>
      </c>
      <c r="S17" s="404">
        <f>VLOOKUP($C17,Batting!$B$44:$BZ$75,56,0)</f>
        <v>0</v>
      </c>
      <c r="T17" s="404">
        <f>VLOOKUP($C17,Batting!$B$44:$BZ$75,59,0)</f>
        <v>0</v>
      </c>
      <c r="U17" s="404">
        <f>VLOOKUP($C17,Batting!$B$44:$BZ$75,62,0)</f>
        <v>0</v>
      </c>
      <c r="V17" s="404">
        <f>VLOOKUP($C17,Batting!$B$44:$BZ$75,65,0)</f>
        <v>0</v>
      </c>
      <c r="W17" s="404">
        <f>VLOOKUP($C17,Batting!$B$44:$BZ$75,68,0)</f>
        <v>0</v>
      </c>
      <c r="X17" s="404">
        <f>VLOOKUP($C17,Batting!$B$44:$BZ$75,71,0)</f>
        <v>0</v>
      </c>
      <c r="Y17" s="404">
        <f>VLOOKUP($C17,Batting!$B$44:$BZ$75,74,0)</f>
        <v>0</v>
      </c>
      <c r="Z17" s="405">
        <f>VLOOKUP($C17,Batting!$B$44:$BZ$75,77,0)</f>
        <v>0</v>
      </c>
      <c r="AA17" s="403">
        <f>_xlfn.IFNA(VLOOKUP($C17,Bowling!$B$39:$DX$66,24,0),0)</f>
        <v>0</v>
      </c>
      <c r="AB17" s="404">
        <f>_xlfn.IFNA(VLOOKUP($C17,Bowling!$B$39:$DX$66,29,0),0)</f>
        <v>0</v>
      </c>
      <c r="AC17" s="404">
        <f>_xlfn.IFNA(VLOOKUP($C17,Bowling!$B$39:$DX$66,34,0),0)</f>
        <v>0</v>
      </c>
      <c r="AD17" s="404">
        <f>_xlfn.IFNA(VLOOKUP($C17,Bowling!$B$39:$DX$66,39,0),0)</f>
        <v>0</v>
      </c>
      <c r="AE17" s="404">
        <f>_xlfn.IFNA(VLOOKUP($C17,Bowling!$B$39:$DX$66,44,0),0)</f>
        <v>-11</v>
      </c>
      <c r="AF17" s="404">
        <f>_xlfn.IFNA(VLOOKUP($C17,Bowling!$B$39:$DX$66,49,0),0)</f>
        <v>0</v>
      </c>
      <c r="AG17" s="404">
        <f>_xlfn.IFNA(VLOOKUP($C17,Bowling!$B$39:$DX$66,54,0),0)</f>
        <v>0</v>
      </c>
      <c r="AH17" s="404">
        <f>_xlfn.IFNA(VLOOKUP($C17,Bowling!$B$39:$DX$66,59,0),0)</f>
        <v>0</v>
      </c>
      <c r="AI17" s="404">
        <f>_xlfn.IFNA(VLOOKUP($C17,Bowling!$B$39:$DX$66,64,0),0)</f>
        <v>0</v>
      </c>
      <c r="AJ17" s="404">
        <f>_xlfn.IFNA(VLOOKUP($C17,Bowling!$B$39:$DX$66,69,0),0)</f>
        <v>33.4</v>
      </c>
      <c r="AK17" s="404">
        <f>_xlfn.IFNA(VLOOKUP($C17,Bowling!$B$39:$DX$66,74,0),0)</f>
        <v>0</v>
      </c>
      <c r="AL17" s="404">
        <f>_xlfn.IFNA(VLOOKUP($C17,Bowling!$B$39:$DX$66,79,0),0)</f>
        <v>0</v>
      </c>
      <c r="AM17" s="404">
        <f>_xlfn.IFNA(VLOOKUP($C17,Bowling!$B$39:$DX$66,84,0),0)</f>
        <v>0</v>
      </c>
      <c r="AN17" s="404">
        <f>_xlfn.IFNA(VLOOKUP($C17,Bowling!$B$39:$DX$66,89,0),0)</f>
        <v>0</v>
      </c>
      <c r="AO17" s="404">
        <f>_xlfn.IFNA(VLOOKUP($C17,Bowling!$B$39:$DX$66,94,0),0)</f>
        <v>0</v>
      </c>
      <c r="AP17" s="404">
        <f>_xlfn.IFNA(VLOOKUP($C17,Bowling!$B$39:$DX$66,99,0),0)</f>
        <v>0</v>
      </c>
      <c r="AQ17" s="404">
        <f>_xlfn.IFNA(VLOOKUP($C17,Bowling!$B$39:$DX$66,104,0),0)</f>
        <v>0</v>
      </c>
      <c r="AR17" s="404">
        <f>_xlfn.IFNA(VLOOKUP($C17,Bowling!$B$39:$DX$66,109,0),0)</f>
        <v>0</v>
      </c>
      <c r="AS17" s="404">
        <f>_xlfn.IFNA(VLOOKUP($C17,Bowling!$B$39:$DX$66,114,0),0)</f>
        <v>0</v>
      </c>
      <c r="AT17" s="404">
        <f>_xlfn.IFNA(VLOOKUP($C17,Bowling!$B$39:$DX$66,119,0),0)</f>
        <v>0</v>
      </c>
      <c r="AU17" s="405">
        <f>_xlfn.IFNA(VLOOKUP($C17,Bowling!$B$39:$DX$66,124,0),0)</f>
        <v>0</v>
      </c>
      <c r="AV17" s="403">
        <f>_xlfn.IFNA(VLOOKUP($C17,Fielding!$B$23:$CN$36,8,0),0)</f>
        <v>0</v>
      </c>
      <c r="AW17" s="404">
        <f>_xlfn.IFNA(VLOOKUP($C17,Fielding!$B$23:$CN$36,12,0),0)</f>
        <v>0</v>
      </c>
      <c r="AX17" s="404">
        <f>_xlfn.IFNA(VLOOKUP($C17,Fielding!$B$23:$CN$36,16,0),0)</f>
        <v>0</v>
      </c>
      <c r="AY17" s="404">
        <f>_xlfn.IFNA(VLOOKUP($C17,Fielding!$B$23:$CN$36,20,0),0)</f>
        <v>0</v>
      </c>
      <c r="AZ17" s="404">
        <f>_xlfn.IFNA(VLOOKUP($C17,Fielding!$B$23:$CN$36,24,0),0)</f>
        <v>0</v>
      </c>
      <c r="BA17" s="404">
        <f>_xlfn.IFNA(VLOOKUP($C17,Fielding!$B$23:$CN$36,28,0),0)</f>
        <v>0</v>
      </c>
      <c r="BB17" s="404">
        <f>_xlfn.IFNA(VLOOKUP($C17,Fielding!$B$23:$CN$36,32,0),0)</f>
        <v>0</v>
      </c>
      <c r="BC17" s="404">
        <f>_xlfn.IFNA(VLOOKUP($C17,Fielding!$B$23:$CN$36,36,0),0)</f>
        <v>0</v>
      </c>
      <c r="BD17" s="404">
        <f>_xlfn.IFNA(VLOOKUP($C17,Fielding!$B$23:$CN$36,40,0),0)</f>
        <v>0</v>
      </c>
      <c r="BE17" s="404">
        <f>_xlfn.IFNA(VLOOKUP($C17,Fielding!$B$23:$CN$36,44,0),0)</f>
        <v>16</v>
      </c>
      <c r="BF17" s="404">
        <f>_xlfn.IFNA(VLOOKUP($C17,Fielding!$B$23:$CN$36,48,0),0)</f>
        <v>0</v>
      </c>
      <c r="BG17" s="404">
        <f>_xlfn.IFNA(VLOOKUP($C17,Fielding!$B$23:$CN$36,52,0),0)</f>
        <v>0</v>
      </c>
      <c r="BH17" s="404">
        <f>_xlfn.IFNA(VLOOKUP($C17,Fielding!$B$23:$CN$36,56,0),0)</f>
        <v>0</v>
      </c>
      <c r="BI17" s="404">
        <f>_xlfn.IFNA(VLOOKUP($C17,Fielding!$B$23:$CN$36,60,0),0)</f>
        <v>0</v>
      </c>
      <c r="BJ17" s="404">
        <f>_xlfn.IFNA(VLOOKUP($C17,Fielding!$B$23:$CN$36,64,0),0)</f>
        <v>0</v>
      </c>
      <c r="BK17" s="404">
        <f>_xlfn.IFNA(VLOOKUP($C17,Fielding!$B$23:$CN$36,68,0),0)</f>
        <v>0</v>
      </c>
      <c r="BL17" s="404">
        <f>_xlfn.IFNA(VLOOKUP($C17,Fielding!$B$23:$CN$36,72,0),0)</f>
        <v>0</v>
      </c>
      <c r="BM17" s="404">
        <f>_xlfn.IFNA(VLOOKUP($C17,Fielding!$B$23:$CN$36,76,0),0)</f>
        <v>0</v>
      </c>
      <c r="BN17" s="404">
        <f>_xlfn.IFNA(VLOOKUP($C17,Fielding!$B$23:$CN$36,80,0),0)</f>
        <v>0</v>
      </c>
      <c r="BO17" s="404">
        <f>_xlfn.IFNA(VLOOKUP($C17,Fielding!$B$23:$CN$36,84,0),0)</f>
        <v>0</v>
      </c>
      <c r="BP17" s="405">
        <f>_xlfn.IFNA(VLOOKUP($C17,Fielding!$B$23:$CN$36,88,0),0)</f>
        <v>0</v>
      </c>
      <c r="BQ17" s="403">
        <f t="shared" si="0"/>
        <v>0</v>
      </c>
      <c r="BR17" s="404">
        <f t="shared" si="1"/>
        <v>0</v>
      </c>
      <c r="BS17" s="404">
        <f t="shared" si="2"/>
        <v>0</v>
      </c>
      <c r="BT17" s="404">
        <f t="shared" si="3"/>
        <v>0</v>
      </c>
      <c r="BU17" s="404">
        <f t="shared" si="4"/>
        <v>-18</v>
      </c>
      <c r="BV17" s="404">
        <f t="shared" si="5"/>
        <v>0</v>
      </c>
      <c r="BW17" s="404">
        <f t="shared" si="6"/>
        <v>0</v>
      </c>
      <c r="BX17" s="404">
        <f t="shared" si="7"/>
        <v>0</v>
      </c>
      <c r="BY17" s="404">
        <f t="shared" si="8"/>
        <v>0</v>
      </c>
      <c r="BZ17" s="404">
        <f t="shared" si="9"/>
        <v>57.4</v>
      </c>
      <c r="CA17" s="404">
        <f t="shared" si="10"/>
        <v>0</v>
      </c>
      <c r="CB17" s="404">
        <f t="shared" si="11"/>
        <v>0</v>
      </c>
      <c r="CC17" s="404">
        <f t="shared" si="12"/>
        <v>0</v>
      </c>
      <c r="CD17" s="404">
        <f t="shared" si="13"/>
        <v>0</v>
      </c>
      <c r="CE17" s="404">
        <f t="shared" si="14"/>
        <v>0</v>
      </c>
      <c r="CF17" s="404">
        <f t="shared" si="15"/>
        <v>0</v>
      </c>
      <c r="CG17" s="404">
        <f t="shared" si="16"/>
        <v>0</v>
      </c>
      <c r="CH17" s="404">
        <f t="shared" si="17"/>
        <v>0</v>
      </c>
      <c r="CI17" s="404">
        <f t="shared" si="18"/>
        <v>0</v>
      </c>
      <c r="CJ17" s="404">
        <f t="shared" si="19"/>
        <v>0</v>
      </c>
      <c r="CK17" s="405">
        <f t="shared" si="20"/>
        <v>0</v>
      </c>
      <c r="CL17" s="403">
        <f t="shared" si="44"/>
        <v>0</v>
      </c>
      <c r="CM17" s="404">
        <f t="shared" si="45"/>
        <v>0</v>
      </c>
      <c r="CN17" s="404">
        <f t="shared" si="46"/>
        <v>0</v>
      </c>
      <c r="CO17" s="404">
        <f t="shared" si="47"/>
        <v>0</v>
      </c>
      <c r="CP17" s="404">
        <f t="shared" si="48"/>
        <v>-18</v>
      </c>
      <c r="CQ17" s="404">
        <f t="shared" si="49"/>
        <v>-18</v>
      </c>
      <c r="CR17" s="404">
        <f t="shared" si="50"/>
        <v>-18</v>
      </c>
      <c r="CS17" s="404">
        <f t="shared" si="51"/>
        <v>-18</v>
      </c>
      <c r="CT17" s="404">
        <f t="shared" si="52"/>
        <v>-18</v>
      </c>
      <c r="CU17" s="404">
        <f t="shared" si="53"/>
        <v>39.4</v>
      </c>
      <c r="CV17" s="404">
        <f t="shared" si="54"/>
        <v>39.4</v>
      </c>
      <c r="CW17" s="404">
        <f t="shared" si="55"/>
        <v>39.4</v>
      </c>
      <c r="CX17" s="404">
        <f t="shared" si="56"/>
        <v>39.4</v>
      </c>
      <c r="CY17" s="404">
        <f t="shared" si="57"/>
        <v>39.4</v>
      </c>
      <c r="CZ17" s="404">
        <f t="shared" si="58"/>
        <v>39.4</v>
      </c>
      <c r="DA17" s="404">
        <f t="shared" si="59"/>
        <v>39.4</v>
      </c>
      <c r="DB17" s="404">
        <f t="shared" si="60"/>
        <v>39.4</v>
      </c>
      <c r="DC17" s="404">
        <f t="shared" si="61"/>
        <v>39.4</v>
      </c>
      <c r="DD17" s="404">
        <f t="shared" si="62"/>
        <v>39.4</v>
      </c>
      <c r="DE17" s="404">
        <f t="shared" si="63"/>
        <v>39.4</v>
      </c>
      <c r="DF17" s="405">
        <f t="shared" si="64"/>
        <v>39.4</v>
      </c>
      <c r="DG17" s="414" t="str">
        <f t="shared" si="22"/>
        <v>-</v>
      </c>
      <c r="DH17" s="415" t="str">
        <f t="shared" si="23"/>
        <v>-</v>
      </c>
      <c r="DI17" s="415" t="str">
        <f t="shared" si="24"/>
        <v>-</v>
      </c>
      <c r="DJ17" s="415" t="str">
        <f t="shared" si="25"/>
        <v>-</v>
      </c>
      <c r="DK17" s="415">
        <f t="shared" si="26"/>
        <v>32</v>
      </c>
      <c r="DL17" s="415">
        <f t="shared" si="27"/>
        <v>32</v>
      </c>
      <c r="DM17" s="415">
        <f t="shared" si="28"/>
        <v>32</v>
      </c>
      <c r="DN17" s="415">
        <f t="shared" si="29"/>
        <v>32</v>
      </c>
      <c r="DO17" s="415">
        <f t="shared" si="30"/>
        <v>32</v>
      </c>
      <c r="DP17" s="415">
        <f t="shared" si="31"/>
        <v>12</v>
      </c>
      <c r="DQ17" s="415">
        <f t="shared" si="32"/>
        <v>12</v>
      </c>
      <c r="DR17" s="415">
        <f t="shared" si="33"/>
        <v>14</v>
      </c>
      <c r="DS17" s="415">
        <f t="shared" si="34"/>
        <v>14</v>
      </c>
      <c r="DT17" s="415">
        <f t="shared" si="35"/>
        <v>15</v>
      </c>
      <c r="DU17" s="415">
        <f t="shared" si="36"/>
        <v>15</v>
      </c>
      <c r="DV17" s="415">
        <f t="shared" si="37"/>
        <v>14</v>
      </c>
      <c r="DW17" s="415">
        <f t="shared" si="38"/>
        <v>15</v>
      </c>
      <c r="DX17" s="415">
        <f t="shared" si="39"/>
        <v>15</v>
      </c>
      <c r="DY17" s="415">
        <f t="shared" si="40"/>
        <v>15</v>
      </c>
      <c r="DZ17" s="415">
        <f t="shared" si="41"/>
        <v>15</v>
      </c>
      <c r="EA17" s="416">
        <f t="shared" si="42"/>
        <v>15</v>
      </c>
    </row>
    <row r="18" spans="1:131" x14ac:dyDescent="0.2">
      <c r="A18" s="119"/>
      <c r="B18" s="157">
        <f t="shared" si="43"/>
        <v>16</v>
      </c>
      <c r="C18" s="158" t="s">
        <v>122</v>
      </c>
      <c r="D18" s="159" t="s">
        <v>188</v>
      </c>
      <c r="E18" s="409">
        <f>IF(ISNA(VLOOKUP($C18,Batting!$B$5:$M$103,3,FALSE)),0,(VLOOKUP($C18,Batting!$B$5:$M$103,3,FALSE)))</f>
        <v>2</v>
      </c>
      <c r="F18" s="403">
        <f>VLOOKUP($C18,Batting!$B$44:$BZ$75,17,0)</f>
        <v>0</v>
      </c>
      <c r="G18" s="404">
        <f>VLOOKUP($C18,Batting!$B$44:$BZ$75,20,0)</f>
        <v>0</v>
      </c>
      <c r="H18" s="404">
        <f>VLOOKUP($C18,Batting!$B$44:$BZ$75,23,0)</f>
        <v>0</v>
      </c>
      <c r="I18" s="404">
        <f>VLOOKUP($C18,Batting!$B$44:$BZ$75,26,0)</f>
        <v>0</v>
      </c>
      <c r="J18" s="404">
        <f>VLOOKUP($C18,Batting!$B$44:$BZ$75,29,0)</f>
        <v>0</v>
      </c>
      <c r="K18" s="404">
        <f>VLOOKUP($C18,Batting!$B$44:$BZ$75,32,0)</f>
        <v>0</v>
      </c>
      <c r="L18" s="404">
        <f>VLOOKUP($C18,Batting!$B$44:$BZ$75,35,0)</f>
        <v>0</v>
      </c>
      <c r="M18" s="404">
        <f>VLOOKUP($C18,Batting!$B$44:$BZ$75,38,0)</f>
        <v>0</v>
      </c>
      <c r="N18" s="404">
        <f>VLOOKUP($C18,Batting!$B$44:$BZ$75,41,0)</f>
        <v>0</v>
      </c>
      <c r="O18" s="404">
        <f>VLOOKUP($C18,Batting!$B$44:$BZ$75,44,0)</f>
        <v>0</v>
      </c>
      <c r="P18" s="404">
        <f>VLOOKUP($C18,Batting!$B$44:$BZ$75,47,0)</f>
        <v>-1</v>
      </c>
      <c r="Q18" s="404">
        <f>VLOOKUP($C18,Batting!$B$44:$BZ$75,50,0)</f>
        <v>0</v>
      </c>
      <c r="R18" s="404">
        <f>VLOOKUP($C18,Batting!$B$44:$BZ$75,53,0)</f>
        <v>0</v>
      </c>
      <c r="S18" s="404">
        <f>VLOOKUP($C18,Batting!$B$44:$BZ$75,56,0)</f>
        <v>0</v>
      </c>
      <c r="T18" s="404">
        <f>VLOOKUP($C18,Batting!$B$44:$BZ$75,59,0)</f>
        <v>0</v>
      </c>
      <c r="U18" s="404">
        <f>VLOOKUP($C18,Batting!$B$44:$BZ$75,62,0)</f>
        <v>0</v>
      </c>
      <c r="V18" s="404">
        <f>VLOOKUP($C18,Batting!$B$44:$BZ$75,65,0)</f>
        <v>34</v>
      </c>
      <c r="W18" s="404">
        <f>VLOOKUP($C18,Batting!$B$44:$BZ$75,68,0)</f>
        <v>0</v>
      </c>
      <c r="X18" s="404">
        <f>VLOOKUP($C18,Batting!$B$44:$BZ$75,71,0)</f>
        <v>0</v>
      </c>
      <c r="Y18" s="404">
        <f>VLOOKUP($C18,Batting!$B$44:$BZ$75,74,0)</f>
        <v>0</v>
      </c>
      <c r="Z18" s="405">
        <f>VLOOKUP($C18,Batting!$B$44:$BZ$75,77,0)</f>
        <v>0</v>
      </c>
      <c r="AA18" s="403">
        <f>_xlfn.IFNA(VLOOKUP($C18,Bowling!$B$39:$DX$66,24,0),0)</f>
        <v>0</v>
      </c>
      <c r="AB18" s="404">
        <f>_xlfn.IFNA(VLOOKUP($C18,Bowling!$B$39:$DX$66,29,0),0)</f>
        <v>0</v>
      </c>
      <c r="AC18" s="404">
        <f>_xlfn.IFNA(VLOOKUP($C18,Bowling!$B$39:$DX$66,34,0),0)</f>
        <v>0</v>
      </c>
      <c r="AD18" s="404">
        <f>_xlfn.IFNA(VLOOKUP($C18,Bowling!$B$39:$DX$66,39,0),0)</f>
        <v>0</v>
      </c>
      <c r="AE18" s="404">
        <f>_xlfn.IFNA(VLOOKUP($C18,Bowling!$B$39:$DX$66,44,0),0)</f>
        <v>0</v>
      </c>
      <c r="AF18" s="404">
        <f>_xlfn.IFNA(VLOOKUP($C18,Bowling!$B$39:$DX$66,49,0),0)</f>
        <v>0</v>
      </c>
      <c r="AG18" s="404">
        <f>_xlfn.IFNA(VLOOKUP($C18,Bowling!$B$39:$DX$66,54,0),0)</f>
        <v>0</v>
      </c>
      <c r="AH18" s="404">
        <f>_xlfn.IFNA(VLOOKUP($C18,Bowling!$B$39:$DX$66,59,0),0)</f>
        <v>0</v>
      </c>
      <c r="AI18" s="404">
        <f>_xlfn.IFNA(VLOOKUP($C18,Bowling!$B$39:$DX$66,64,0),0)</f>
        <v>0</v>
      </c>
      <c r="AJ18" s="404">
        <f>_xlfn.IFNA(VLOOKUP($C18,Bowling!$B$39:$DX$66,69,0),0)</f>
        <v>0</v>
      </c>
      <c r="AK18" s="404">
        <f>_xlfn.IFNA(VLOOKUP($C18,Bowling!$B$39:$DX$66,74,0),0)</f>
        <v>-4.8</v>
      </c>
      <c r="AL18" s="404">
        <f>_xlfn.IFNA(VLOOKUP($C18,Bowling!$B$39:$DX$66,79,0),0)</f>
        <v>0</v>
      </c>
      <c r="AM18" s="404">
        <f>_xlfn.IFNA(VLOOKUP($C18,Bowling!$B$39:$DX$66,84,0),0)</f>
        <v>0</v>
      </c>
      <c r="AN18" s="404">
        <f>_xlfn.IFNA(VLOOKUP($C18,Bowling!$B$39:$DX$66,89,0),0)</f>
        <v>0</v>
      </c>
      <c r="AO18" s="404">
        <f>_xlfn.IFNA(VLOOKUP($C18,Bowling!$B$39:$DX$66,94,0),0)</f>
        <v>0</v>
      </c>
      <c r="AP18" s="404">
        <f>_xlfn.IFNA(VLOOKUP($C18,Bowling!$B$39:$DX$66,99,0),0)</f>
        <v>0</v>
      </c>
      <c r="AQ18" s="404">
        <f>_xlfn.IFNA(VLOOKUP($C18,Bowling!$B$39:$DX$66,104,0),0)</f>
        <v>-5.2</v>
      </c>
      <c r="AR18" s="404">
        <f>_xlfn.IFNA(VLOOKUP($C18,Bowling!$B$39:$DX$66,109,0),0)</f>
        <v>0</v>
      </c>
      <c r="AS18" s="404">
        <f>_xlfn.IFNA(VLOOKUP($C18,Bowling!$B$39:$DX$66,114,0),0)</f>
        <v>0</v>
      </c>
      <c r="AT18" s="404">
        <f>_xlfn.IFNA(VLOOKUP($C18,Bowling!$B$39:$DX$66,119,0),0)</f>
        <v>0</v>
      </c>
      <c r="AU18" s="405">
        <f>_xlfn.IFNA(VLOOKUP($C18,Bowling!$B$39:$DX$66,124,0),0)</f>
        <v>0</v>
      </c>
      <c r="AV18" s="403">
        <f>_xlfn.IFNA(VLOOKUP($C18,Fielding!$B$23:$CN$36,8,0),0)</f>
        <v>0</v>
      </c>
      <c r="AW18" s="404">
        <f>_xlfn.IFNA(VLOOKUP($C18,Fielding!$B$23:$CN$36,12,0),0)</f>
        <v>0</v>
      </c>
      <c r="AX18" s="404">
        <f>_xlfn.IFNA(VLOOKUP($C18,Fielding!$B$23:$CN$36,16,0),0)</f>
        <v>0</v>
      </c>
      <c r="AY18" s="404">
        <f>_xlfn.IFNA(VLOOKUP($C18,Fielding!$B$23:$CN$36,20,0),0)</f>
        <v>0</v>
      </c>
      <c r="AZ18" s="404">
        <f>_xlfn.IFNA(VLOOKUP($C18,Fielding!$B$23:$CN$36,24,0),0)</f>
        <v>0</v>
      </c>
      <c r="BA18" s="404">
        <f>_xlfn.IFNA(VLOOKUP($C18,Fielding!$B$23:$CN$36,28,0),0)</f>
        <v>0</v>
      </c>
      <c r="BB18" s="404">
        <f>_xlfn.IFNA(VLOOKUP($C18,Fielding!$B$23:$CN$36,32,0),0)</f>
        <v>0</v>
      </c>
      <c r="BC18" s="404">
        <f>_xlfn.IFNA(VLOOKUP($C18,Fielding!$B$23:$CN$36,36,0),0)</f>
        <v>0</v>
      </c>
      <c r="BD18" s="404">
        <f>_xlfn.IFNA(VLOOKUP($C18,Fielding!$B$23:$CN$36,40,0),0)</f>
        <v>0</v>
      </c>
      <c r="BE18" s="404">
        <f>_xlfn.IFNA(VLOOKUP($C18,Fielding!$B$23:$CN$36,44,0),0)</f>
        <v>0</v>
      </c>
      <c r="BF18" s="404">
        <f>_xlfn.IFNA(VLOOKUP($C18,Fielding!$B$23:$CN$36,48,0),0)</f>
        <v>0</v>
      </c>
      <c r="BG18" s="404">
        <f>_xlfn.IFNA(VLOOKUP($C18,Fielding!$B$23:$CN$36,52,0),0)</f>
        <v>0</v>
      </c>
      <c r="BH18" s="404">
        <f>_xlfn.IFNA(VLOOKUP($C18,Fielding!$B$23:$CN$36,56,0),0)</f>
        <v>0</v>
      </c>
      <c r="BI18" s="404">
        <f>_xlfn.IFNA(VLOOKUP($C18,Fielding!$B$23:$CN$36,60,0),0)</f>
        <v>0</v>
      </c>
      <c r="BJ18" s="404">
        <f>_xlfn.IFNA(VLOOKUP($C18,Fielding!$B$23:$CN$36,64,0),0)</f>
        <v>0</v>
      </c>
      <c r="BK18" s="404">
        <f>_xlfn.IFNA(VLOOKUP($C18,Fielding!$B$23:$CN$36,68,0),0)</f>
        <v>0</v>
      </c>
      <c r="BL18" s="404">
        <f>_xlfn.IFNA(VLOOKUP($C18,Fielding!$B$23:$CN$36,72,0),0)</f>
        <v>0</v>
      </c>
      <c r="BM18" s="404">
        <f>_xlfn.IFNA(VLOOKUP($C18,Fielding!$B$23:$CN$36,76,0),0)</f>
        <v>0</v>
      </c>
      <c r="BN18" s="404">
        <f>_xlfn.IFNA(VLOOKUP($C18,Fielding!$B$23:$CN$36,80,0),0)</f>
        <v>0</v>
      </c>
      <c r="BO18" s="404">
        <f>_xlfn.IFNA(VLOOKUP($C18,Fielding!$B$23:$CN$36,84,0),0)</f>
        <v>0</v>
      </c>
      <c r="BP18" s="405">
        <f>_xlfn.IFNA(VLOOKUP($C18,Fielding!$B$23:$CN$36,88,0),0)</f>
        <v>0</v>
      </c>
      <c r="BQ18" s="403">
        <f t="shared" si="0"/>
        <v>0</v>
      </c>
      <c r="BR18" s="404">
        <f t="shared" si="1"/>
        <v>0</v>
      </c>
      <c r="BS18" s="404">
        <f t="shared" si="2"/>
        <v>0</v>
      </c>
      <c r="BT18" s="404">
        <f t="shared" si="3"/>
        <v>0</v>
      </c>
      <c r="BU18" s="404">
        <f t="shared" si="4"/>
        <v>0</v>
      </c>
      <c r="BV18" s="404">
        <f t="shared" si="5"/>
        <v>0</v>
      </c>
      <c r="BW18" s="404">
        <f t="shared" si="6"/>
        <v>0</v>
      </c>
      <c r="BX18" s="404">
        <f t="shared" si="7"/>
        <v>0</v>
      </c>
      <c r="BY18" s="404">
        <f t="shared" si="8"/>
        <v>0</v>
      </c>
      <c r="BZ18" s="404">
        <f t="shared" si="9"/>
        <v>0</v>
      </c>
      <c r="CA18" s="404">
        <f t="shared" si="10"/>
        <v>-5.8</v>
      </c>
      <c r="CB18" s="404">
        <f t="shared" si="11"/>
        <v>0</v>
      </c>
      <c r="CC18" s="404">
        <f t="shared" si="12"/>
        <v>0</v>
      </c>
      <c r="CD18" s="404">
        <f t="shared" si="13"/>
        <v>0</v>
      </c>
      <c r="CE18" s="404">
        <f t="shared" si="14"/>
        <v>0</v>
      </c>
      <c r="CF18" s="404">
        <f t="shared" si="15"/>
        <v>0</v>
      </c>
      <c r="CG18" s="404">
        <f t="shared" si="16"/>
        <v>28.8</v>
      </c>
      <c r="CH18" s="404">
        <f t="shared" si="17"/>
        <v>0</v>
      </c>
      <c r="CI18" s="404">
        <f t="shared" si="18"/>
        <v>0</v>
      </c>
      <c r="CJ18" s="404">
        <f t="shared" si="19"/>
        <v>0</v>
      </c>
      <c r="CK18" s="405">
        <f t="shared" si="20"/>
        <v>0</v>
      </c>
      <c r="CL18" s="403">
        <f t="shared" si="44"/>
        <v>0</v>
      </c>
      <c r="CM18" s="404">
        <f t="shared" si="45"/>
        <v>0</v>
      </c>
      <c r="CN18" s="404">
        <f t="shared" si="46"/>
        <v>0</v>
      </c>
      <c r="CO18" s="404">
        <f t="shared" si="47"/>
        <v>0</v>
      </c>
      <c r="CP18" s="404">
        <f t="shared" si="48"/>
        <v>0</v>
      </c>
      <c r="CQ18" s="404">
        <f t="shared" si="49"/>
        <v>0</v>
      </c>
      <c r="CR18" s="404">
        <f t="shared" si="50"/>
        <v>0</v>
      </c>
      <c r="CS18" s="404">
        <f t="shared" si="51"/>
        <v>0</v>
      </c>
      <c r="CT18" s="404">
        <f t="shared" si="52"/>
        <v>0</v>
      </c>
      <c r="CU18" s="404">
        <f t="shared" si="53"/>
        <v>0</v>
      </c>
      <c r="CV18" s="404">
        <f t="shared" si="54"/>
        <v>-5.8</v>
      </c>
      <c r="CW18" s="404">
        <f t="shared" si="55"/>
        <v>-5.8</v>
      </c>
      <c r="CX18" s="404">
        <f t="shared" si="56"/>
        <v>-5.8</v>
      </c>
      <c r="CY18" s="404">
        <f t="shared" si="57"/>
        <v>-5.8</v>
      </c>
      <c r="CZ18" s="404">
        <f t="shared" si="58"/>
        <v>-5.8</v>
      </c>
      <c r="DA18" s="404">
        <f t="shared" si="59"/>
        <v>-5.8</v>
      </c>
      <c r="DB18" s="404">
        <f t="shared" si="60"/>
        <v>23</v>
      </c>
      <c r="DC18" s="404">
        <f t="shared" si="61"/>
        <v>23</v>
      </c>
      <c r="DD18" s="404">
        <f t="shared" si="62"/>
        <v>23</v>
      </c>
      <c r="DE18" s="404">
        <f t="shared" si="63"/>
        <v>23</v>
      </c>
      <c r="DF18" s="405">
        <f t="shared" si="64"/>
        <v>23</v>
      </c>
      <c r="DG18" s="414" t="str">
        <f t="shared" si="22"/>
        <v>-</v>
      </c>
      <c r="DH18" s="415" t="str">
        <f t="shared" si="23"/>
        <v>-</v>
      </c>
      <c r="DI18" s="415" t="str">
        <f t="shared" si="24"/>
        <v>-</v>
      </c>
      <c r="DJ18" s="415" t="str">
        <f t="shared" si="25"/>
        <v>-</v>
      </c>
      <c r="DK18" s="415" t="str">
        <f t="shared" si="26"/>
        <v>-</v>
      </c>
      <c r="DL18" s="415" t="str">
        <f t="shared" si="27"/>
        <v>-</v>
      </c>
      <c r="DM18" s="415" t="str">
        <f t="shared" si="28"/>
        <v>-</v>
      </c>
      <c r="DN18" s="415" t="str">
        <f t="shared" si="29"/>
        <v>-</v>
      </c>
      <c r="DO18" s="415" t="str">
        <f t="shared" si="30"/>
        <v>-</v>
      </c>
      <c r="DP18" s="415" t="str">
        <f t="shared" si="31"/>
        <v>-</v>
      </c>
      <c r="DQ18" s="415">
        <f t="shared" si="32"/>
        <v>24</v>
      </c>
      <c r="DR18" s="415">
        <f t="shared" si="33"/>
        <v>25</v>
      </c>
      <c r="DS18" s="415">
        <f t="shared" si="34"/>
        <v>25</v>
      </c>
      <c r="DT18" s="415">
        <f t="shared" si="35"/>
        <v>25</v>
      </c>
      <c r="DU18" s="415">
        <f t="shared" si="36"/>
        <v>25</v>
      </c>
      <c r="DV18" s="415">
        <f t="shared" si="37"/>
        <v>25</v>
      </c>
      <c r="DW18" s="415">
        <f t="shared" si="38"/>
        <v>16</v>
      </c>
      <c r="DX18" s="415">
        <f t="shared" si="39"/>
        <v>17</v>
      </c>
      <c r="DY18" s="415">
        <f t="shared" si="40"/>
        <v>17</v>
      </c>
      <c r="DZ18" s="415">
        <f t="shared" si="41"/>
        <v>17</v>
      </c>
      <c r="EA18" s="416">
        <f t="shared" si="42"/>
        <v>17</v>
      </c>
    </row>
    <row r="19" spans="1:131" x14ac:dyDescent="0.2">
      <c r="A19" s="119"/>
      <c r="B19" s="157">
        <f t="shared" si="43"/>
        <v>17</v>
      </c>
      <c r="C19" s="158" t="s">
        <v>278</v>
      </c>
      <c r="D19" s="159" t="s">
        <v>188</v>
      </c>
      <c r="E19" s="409">
        <f>IF(ISNA(VLOOKUP($C19,Batting!$B$5:$M$103,3,FALSE)),0,(VLOOKUP($C19,Batting!$B$5:$M$103,3,FALSE)))</f>
        <v>1</v>
      </c>
      <c r="F19" s="403">
        <f>VLOOKUP($C19,Batting!$B$44:$BZ$75,17,0)</f>
        <v>0</v>
      </c>
      <c r="G19" s="404">
        <f>VLOOKUP($C19,Batting!$B$44:$BZ$75,20,0)</f>
        <v>0</v>
      </c>
      <c r="H19" s="404">
        <f>VLOOKUP($C19,Batting!$B$44:$BZ$75,23,0)</f>
        <v>0</v>
      </c>
      <c r="I19" s="404">
        <f>VLOOKUP($C19,Batting!$B$44:$BZ$75,26,0)</f>
        <v>0</v>
      </c>
      <c r="J19" s="404">
        <f>VLOOKUP($C19,Batting!$B$44:$BZ$75,29,0)</f>
        <v>0</v>
      </c>
      <c r="K19" s="404">
        <f>VLOOKUP($C19,Batting!$B$44:$BZ$75,32,0)</f>
        <v>0</v>
      </c>
      <c r="L19" s="404">
        <f>VLOOKUP($C19,Batting!$B$44:$BZ$75,35,0)</f>
        <v>0</v>
      </c>
      <c r="M19" s="404">
        <f>VLOOKUP($C19,Batting!$B$44:$BZ$75,38,0)</f>
        <v>0</v>
      </c>
      <c r="N19" s="404">
        <f>VLOOKUP($C19,Batting!$B$44:$BZ$75,41,0)</f>
        <v>16</v>
      </c>
      <c r="O19" s="404">
        <f>VLOOKUP($C19,Batting!$B$44:$BZ$75,44,0)</f>
        <v>0</v>
      </c>
      <c r="P19" s="404">
        <f>VLOOKUP($C19,Batting!$B$44:$BZ$75,47,0)</f>
        <v>0</v>
      </c>
      <c r="Q19" s="404">
        <f>VLOOKUP($C19,Batting!$B$44:$BZ$75,50,0)</f>
        <v>0</v>
      </c>
      <c r="R19" s="404">
        <f>VLOOKUP($C19,Batting!$B$44:$BZ$75,53,0)</f>
        <v>0</v>
      </c>
      <c r="S19" s="404">
        <f>VLOOKUP($C19,Batting!$B$44:$BZ$75,56,0)</f>
        <v>0</v>
      </c>
      <c r="T19" s="404">
        <f>VLOOKUP($C19,Batting!$B$44:$BZ$75,59,0)</f>
        <v>0</v>
      </c>
      <c r="U19" s="404">
        <f>VLOOKUP($C19,Batting!$B$44:$BZ$75,62,0)</f>
        <v>0</v>
      </c>
      <c r="V19" s="404">
        <f>VLOOKUP($C19,Batting!$B$44:$BZ$75,65,0)</f>
        <v>0</v>
      </c>
      <c r="W19" s="404">
        <f>VLOOKUP($C19,Batting!$B$44:$BZ$75,68,0)</f>
        <v>0</v>
      </c>
      <c r="X19" s="404">
        <f>VLOOKUP($C19,Batting!$B$44:$BZ$75,71,0)</f>
        <v>0</v>
      </c>
      <c r="Y19" s="404">
        <f>VLOOKUP($C19,Batting!$B$44:$BZ$75,74,0)</f>
        <v>0</v>
      </c>
      <c r="Z19" s="405">
        <f>VLOOKUP($C19,Batting!$B$44:$BZ$75,77,0)</f>
        <v>0</v>
      </c>
      <c r="AA19" s="403">
        <f>_xlfn.IFNA(VLOOKUP($C19,Bowling!$B$39:$DX$66,24,0),0)</f>
        <v>0</v>
      </c>
      <c r="AB19" s="404">
        <f>_xlfn.IFNA(VLOOKUP($C19,Bowling!$B$39:$DX$66,29,0),0)</f>
        <v>0</v>
      </c>
      <c r="AC19" s="404">
        <f>_xlfn.IFNA(VLOOKUP($C19,Bowling!$B$39:$DX$66,34,0),0)</f>
        <v>0</v>
      </c>
      <c r="AD19" s="404">
        <f>_xlfn.IFNA(VLOOKUP($C19,Bowling!$B$39:$DX$66,39,0),0)</f>
        <v>0</v>
      </c>
      <c r="AE19" s="404">
        <f>_xlfn.IFNA(VLOOKUP($C19,Bowling!$B$39:$DX$66,44,0),0)</f>
        <v>0</v>
      </c>
      <c r="AF19" s="404">
        <f>_xlfn.IFNA(VLOOKUP($C19,Bowling!$B$39:$DX$66,49,0),0)</f>
        <v>0</v>
      </c>
      <c r="AG19" s="404">
        <f>_xlfn.IFNA(VLOOKUP($C19,Bowling!$B$39:$DX$66,54,0),0)</f>
        <v>0</v>
      </c>
      <c r="AH19" s="404">
        <f>_xlfn.IFNA(VLOOKUP($C19,Bowling!$B$39:$DX$66,59,0),0)</f>
        <v>0</v>
      </c>
      <c r="AI19" s="404">
        <f>_xlfn.IFNA(VLOOKUP($C19,Bowling!$B$39:$DX$66,64,0),0)</f>
        <v>-2.8</v>
      </c>
      <c r="AJ19" s="404">
        <f>_xlfn.IFNA(VLOOKUP($C19,Bowling!$B$39:$DX$66,69,0),0)</f>
        <v>0</v>
      </c>
      <c r="AK19" s="404">
        <f>_xlfn.IFNA(VLOOKUP($C19,Bowling!$B$39:$DX$66,74,0),0)</f>
        <v>0</v>
      </c>
      <c r="AL19" s="404">
        <f>_xlfn.IFNA(VLOOKUP($C19,Bowling!$B$39:$DX$66,79,0),0)</f>
        <v>0</v>
      </c>
      <c r="AM19" s="404">
        <f>_xlfn.IFNA(VLOOKUP($C19,Bowling!$B$39:$DX$66,84,0),0)</f>
        <v>0</v>
      </c>
      <c r="AN19" s="404">
        <f>_xlfn.IFNA(VLOOKUP($C19,Bowling!$B$39:$DX$66,89,0),0)</f>
        <v>0</v>
      </c>
      <c r="AO19" s="404">
        <f>_xlfn.IFNA(VLOOKUP($C19,Bowling!$B$39:$DX$66,94,0),0)</f>
        <v>0</v>
      </c>
      <c r="AP19" s="404">
        <f>_xlfn.IFNA(VLOOKUP($C19,Bowling!$B$39:$DX$66,99,0),0)</f>
        <v>0</v>
      </c>
      <c r="AQ19" s="404">
        <f>_xlfn.IFNA(VLOOKUP($C19,Bowling!$B$39:$DX$66,104,0),0)</f>
        <v>0</v>
      </c>
      <c r="AR19" s="404">
        <f>_xlfn.IFNA(VLOOKUP($C19,Bowling!$B$39:$DX$66,109,0),0)</f>
        <v>0</v>
      </c>
      <c r="AS19" s="404">
        <f>_xlfn.IFNA(VLOOKUP($C19,Bowling!$B$39:$DX$66,114,0),0)</f>
        <v>0</v>
      </c>
      <c r="AT19" s="404">
        <f>_xlfn.IFNA(VLOOKUP($C19,Bowling!$B$39:$DX$66,119,0),0)</f>
        <v>0</v>
      </c>
      <c r="AU19" s="405">
        <f>_xlfn.IFNA(VLOOKUP($C19,Bowling!$B$39:$DX$66,124,0),0)</f>
        <v>0</v>
      </c>
      <c r="AV19" s="403">
        <f>_xlfn.IFNA(VLOOKUP($C19,Fielding!$B$23:$CN$36,8,0),0)</f>
        <v>0</v>
      </c>
      <c r="AW19" s="404">
        <f>_xlfn.IFNA(VLOOKUP($C19,Fielding!$B$23:$CN$36,12,0),0)</f>
        <v>0</v>
      </c>
      <c r="AX19" s="404">
        <f>_xlfn.IFNA(VLOOKUP($C19,Fielding!$B$23:$CN$36,16,0),0)</f>
        <v>0</v>
      </c>
      <c r="AY19" s="404">
        <f>_xlfn.IFNA(VLOOKUP($C19,Fielding!$B$23:$CN$36,20,0),0)</f>
        <v>0</v>
      </c>
      <c r="AZ19" s="404">
        <f>_xlfn.IFNA(VLOOKUP($C19,Fielding!$B$23:$CN$36,24,0),0)</f>
        <v>0</v>
      </c>
      <c r="BA19" s="404">
        <f>_xlfn.IFNA(VLOOKUP($C19,Fielding!$B$23:$CN$36,28,0),0)</f>
        <v>0</v>
      </c>
      <c r="BB19" s="404">
        <f>_xlfn.IFNA(VLOOKUP($C19,Fielding!$B$23:$CN$36,32,0),0)</f>
        <v>0</v>
      </c>
      <c r="BC19" s="404">
        <f>_xlfn.IFNA(VLOOKUP($C19,Fielding!$B$23:$CN$36,36,0),0)</f>
        <v>0</v>
      </c>
      <c r="BD19" s="404">
        <f>_xlfn.IFNA(VLOOKUP($C19,Fielding!$B$23:$CN$36,40,0),0)</f>
        <v>8</v>
      </c>
      <c r="BE19" s="404">
        <f>_xlfn.IFNA(VLOOKUP($C19,Fielding!$B$23:$CN$36,44,0),0)</f>
        <v>0</v>
      </c>
      <c r="BF19" s="404">
        <f>_xlfn.IFNA(VLOOKUP($C19,Fielding!$B$23:$CN$36,48,0),0)</f>
        <v>0</v>
      </c>
      <c r="BG19" s="404">
        <f>_xlfn.IFNA(VLOOKUP($C19,Fielding!$B$23:$CN$36,52,0),0)</f>
        <v>0</v>
      </c>
      <c r="BH19" s="404">
        <f>_xlfn.IFNA(VLOOKUP($C19,Fielding!$B$23:$CN$36,56,0),0)</f>
        <v>0</v>
      </c>
      <c r="BI19" s="404">
        <f>_xlfn.IFNA(VLOOKUP($C19,Fielding!$B$23:$CN$36,60,0),0)</f>
        <v>0</v>
      </c>
      <c r="BJ19" s="404">
        <f>_xlfn.IFNA(VLOOKUP($C19,Fielding!$B$23:$CN$36,64,0),0)</f>
        <v>0</v>
      </c>
      <c r="BK19" s="404">
        <f>_xlfn.IFNA(VLOOKUP($C19,Fielding!$B$23:$CN$36,68,0),0)</f>
        <v>0</v>
      </c>
      <c r="BL19" s="404">
        <f>_xlfn.IFNA(VLOOKUP($C19,Fielding!$B$23:$CN$36,72,0),0)</f>
        <v>0</v>
      </c>
      <c r="BM19" s="404">
        <f>_xlfn.IFNA(VLOOKUP($C19,Fielding!$B$23:$CN$36,76,0),0)</f>
        <v>0</v>
      </c>
      <c r="BN19" s="404">
        <f>_xlfn.IFNA(VLOOKUP($C19,Fielding!$B$23:$CN$36,80,0),0)</f>
        <v>0</v>
      </c>
      <c r="BO19" s="404">
        <f>_xlfn.IFNA(VLOOKUP($C19,Fielding!$B$23:$CN$36,84,0),0)</f>
        <v>0</v>
      </c>
      <c r="BP19" s="405">
        <f>_xlfn.IFNA(VLOOKUP($C19,Fielding!$B$23:$CN$36,88,0),0)</f>
        <v>0</v>
      </c>
      <c r="BQ19" s="403">
        <f t="shared" si="0"/>
        <v>0</v>
      </c>
      <c r="BR19" s="404">
        <f t="shared" si="1"/>
        <v>0</v>
      </c>
      <c r="BS19" s="404">
        <f t="shared" si="2"/>
        <v>0</v>
      </c>
      <c r="BT19" s="404">
        <f t="shared" si="3"/>
        <v>0</v>
      </c>
      <c r="BU19" s="404">
        <f t="shared" si="4"/>
        <v>0</v>
      </c>
      <c r="BV19" s="404">
        <f t="shared" si="5"/>
        <v>0</v>
      </c>
      <c r="BW19" s="404">
        <f t="shared" si="6"/>
        <v>0</v>
      </c>
      <c r="BX19" s="404">
        <f t="shared" si="7"/>
        <v>0</v>
      </c>
      <c r="BY19" s="404">
        <f t="shared" si="8"/>
        <v>21.2</v>
      </c>
      <c r="BZ19" s="404">
        <f t="shared" si="9"/>
        <v>0</v>
      </c>
      <c r="CA19" s="404">
        <f t="shared" si="10"/>
        <v>0</v>
      </c>
      <c r="CB19" s="404">
        <f t="shared" si="11"/>
        <v>0</v>
      </c>
      <c r="CC19" s="404">
        <f t="shared" si="12"/>
        <v>0</v>
      </c>
      <c r="CD19" s="404">
        <f t="shared" si="13"/>
        <v>0</v>
      </c>
      <c r="CE19" s="404">
        <f t="shared" si="14"/>
        <v>0</v>
      </c>
      <c r="CF19" s="404">
        <f t="shared" si="15"/>
        <v>0</v>
      </c>
      <c r="CG19" s="404">
        <f t="shared" si="16"/>
        <v>0</v>
      </c>
      <c r="CH19" s="404">
        <f t="shared" si="17"/>
        <v>0</v>
      </c>
      <c r="CI19" s="404">
        <f t="shared" si="18"/>
        <v>0</v>
      </c>
      <c r="CJ19" s="404">
        <f t="shared" si="19"/>
        <v>0</v>
      </c>
      <c r="CK19" s="405">
        <f t="shared" si="20"/>
        <v>0</v>
      </c>
      <c r="CL19" s="403">
        <f t="shared" si="44"/>
        <v>0</v>
      </c>
      <c r="CM19" s="404">
        <f t="shared" si="45"/>
        <v>0</v>
      </c>
      <c r="CN19" s="404">
        <f t="shared" si="46"/>
        <v>0</v>
      </c>
      <c r="CO19" s="404">
        <f t="shared" si="47"/>
        <v>0</v>
      </c>
      <c r="CP19" s="404">
        <f t="shared" si="48"/>
        <v>0</v>
      </c>
      <c r="CQ19" s="404">
        <f t="shared" si="49"/>
        <v>0</v>
      </c>
      <c r="CR19" s="404">
        <f t="shared" si="50"/>
        <v>0</v>
      </c>
      <c r="CS19" s="404">
        <f t="shared" si="51"/>
        <v>0</v>
      </c>
      <c r="CT19" s="404">
        <f t="shared" si="52"/>
        <v>21.2</v>
      </c>
      <c r="CU19" s="404">
        <f t="shared" si="53"/>
        <v>21.2</v>
      </c>
      <c r="CV19" s="404">
        <f t="shared" si="54"/>
        <v>21.2</v>
      </c>
      <c r="CW19" s="404">
        <f t="shared" si="55"/>
        <v>21.2</v>
      </c>
      <c r="CX19" s="404">
        <f t="shared" si="56"/>
        <v>21.2</v>
      </c>
      <c r="CY19" s="404">
        <f t="shared" si="57"/>
        <v>21.2</v>
      </c>
      <c r="CZ19" s="404">
        <f t="shared" si="58"/>
        <v>21.2</v>
      </c>
      <c r="DA19" s="404">
        <f t="shared" si="59"/>
        <v>21.2</v>
      </c>
      <c r="DB19" s="404">
        <f t="shared" si="60"/>
        <v>21.2</v>
      </c>
      <c r="DC19" s="404">
        <f t="shared" si="61"/>
        <v>21.2</v>
      </c>
      <c r="DD19" s="404">
        <f t="shared" si="62"/>
        <v>21.2</v>
      </c>
      <c r="DE19" s="404">
        <f t="shared" si="63"/>
        <v>21.2</v>
      </c>
      <c r="DF19" s="405">
        <f t="shared" si="64"/>
        <v>21.2</v>
      </c>
      <c r="DG19" s="414" t="str">
        <f t="shared" si="22"/>
        <v>-</v>
      </c>
      <c r="DH19" s="415" t="str">
        <f t="shared" si="23"/>
        <v>-</v>
      </c>
      <c r="DI19" s="415" t="str">
        <f t="shared" si="24"/>
        <v>-</v>
      </c>
      <c r="DJ19" s="415" t="str">
        <f t="shared" si="25"/>
        <v>-</v>
      </c>
      <c r="DK19" s="415" t="str">
        <f t="shared" si="26"/>
        <v>-</v>
      </c>
      <c r="DL19" s="415" t="str">
        <f t="shared" si="27"/>
        <v>-</v>
      </c>
      <c r="DM19" s="415" t="str">
        <f t="shared" si="28"/>
        <v>-</v>
      </c>
      <c r="DN19" s="415" t="str">
        <f t="shared" si="29"/>
        <v>-</v>
      </c>
      <c r="DO19" s="415">
        <f t="shared" si="30"/>
        <v>12</v>
      </c>
      <c r="DP19" s="415">
        <f t="shared" si="31"/>
        <v>13</v>
      </c>
      <c r="DQ19" s="415">
        <f t="shared" si="32"/>
        <v>13</v>
      </c>
      <c r="DR19" s="415">
        <f t="shared" si="33"/>
        <v>15</v>
      </c>
      <c r="DS19" s="415">
        <f t="shared" si="34"/>
        <v>15</v>
      </c>
      <c r="DT19" s="415">
        <f t="shared" si="35"/>
        <v>16</v>
      </c>
      <c r="DU19" s="415">
        <f t="shared" si="36"/>
        <v>16</v>
      </c>
      <c r="DV19" s="415">
        <f t="shared" si="37"/>
        <v>16</v>
      </c>
      <c r="DW19" s="415">
        <f t="shared" si="38"/>
        <v>17</v>
      </c>
      <c r="DX19" s="415">
        <f t="shared" si="39"/>
        <v>18</v>
      </c>
      <c r="DY19" s="415">
        <f t="shared" si="40"/>
        <v>18</v>
      </c>
      <c r="DZ19" s="415">
        <f t="shared" si="41"/>
        <v>18</v>
      </c>
      <c r="EA19" s="416">
        <f t="shared" si="42"/>
        <v>18</v>
      </c>
    </row>
    <row r="20" spans="1:131" x14ac:dyDescent="0.2">
      <c r="A20" s="119"/>
      <c r="B20" s="157">
        <f t="shared" si="43"/>
        <v>18</v>
      </c>
      <c r="C20" s="158" t="s">
        <v>276</v>
      </c>
      <c r="D20" s="159" t="s">
        <v>191</v>
      </c>
      <c r="E20" s="409">
        <f>IF(ISNA(VLOOKUP($C20,Batting!$B$5:$M$103,3,FALSE)),0,(VLOOKUP($C20,Batting!$B$5:$M$103,3,FALSE)))</f>
        <v>1</v>
      </c>
      <c r="F20" s="403">
        <f>VLOOKUP($C20,Batting!$B$44:$BZ$75,17,0)</f>
        <v>0</v>
      </c>
      <c r="G20" s="404">
        <f>VLOOKUP($C20,Batting!$B$44:$BZ$75,20,0)</f>
        <v>0</v>
      </c>
      <c r="H20" s="404">
        <f>VLOOKUP($C20,Batting!$B$44:$BZ$75,23,0)</f>
        <v>0</v>
      </c>
      <c r="I20" s="404">
        <f>VLOOKUP($C20,Batting!$B$44:$BZ$75,26,0)</f>
        <v>0</v>
      </c>
      <c r="J20" s="404">
        <f>VLOOKUP($C20,Batting!$B$44:$BZ$75,29,0)</f>
        <v>0</v>
      </c>
      <c r="K20" s="404">
        <f>VLOOKUP($C20,Batting!$B$44:$BZ$75,32,0)</f>
        <v>0</v>
      </c>
      <c r="L20" s="404">
        <f>VLOOKUP($C20,Batting!$B$44:$BZ$75,35,0)</f>
        <v>0</v>
      </c>
      <c r="M20" s="404">
        <f>VLOOKUP($C20,Batting!$B$44:$BZ$75,38,0)</f>
        <v>0</v>
      </c>
      <c r="N20" s="404">
        <f>VLOOKUP($C20,Batting!$B$44:$BZ$75,41,0)</f>
        <v>0</v>
      </c>
      <c r="O20" s="404">
        <f>VLOOKUP($C20,Batting!$B$44:$BZ$75,44,0)</f>
        <v>0</v>
      </c>
      <c r="P20" s="404">
        <f>VLOOKUP($C20,Batting!$B$44:$BZ$75,47,0)</f>
        <v>0</v>
      </c>
      <c r="Q20" s="404">
        <f>VLOOKUP($C20,Batting!$B$44:$BZ$75,50,0)</f>
        <v>0</v>
      </c>
      <c r="R20" s="404">
        <f>VLOOKUP($C20,Batting!$B$44:$BZ$75,53,0)</f>
        <v>0</v>
      </c>
      <c r="S20" s="404">
        <f>VLOOKUP($C20,Batting!$B$44:$BZ$75,56,0)</f>
        <v>0</v>
      </c>
      <c r="T20" s="404">
        <f>VLOOKUP($C20,Batting!$B$44:$BZ$75,59,0)</f>
        <v>0</v>
      </c>
      <c r="U20" s="404">
        <f>VLOOKUP($C20,Batting!$B$44:$BZ$75,62,0)</f>
        <v>0</v>
      </c>
      <c r="V20" s="404">
        <f>VLOOKUP($C20,Batting!$B$44:$BZ$75,65,0)</f>
        <v>0</v>
      </c>
      <c r="W20" s="404">
        <f>VLOOKUP($C20,Batting!$B$44:$BZ$75,68,0)</f>
        <v>0</v>
      </c>
      <c r="X20" s="404">
        <f>VLOOKUP($C20,Batting!$B$44:$BZ$75,71,0)</f>
        <v>0</v>
      </c>
      <c r="Y20" s="404">
        <f>VLOOKUP($C20,Batting!$B$44:$BZ$75,74,0)</f>
        <v>0</v>
      </c>
      <c r="Z20" s="405">
        <f>VLOOKUP($C20,Batting!$B$44:$BZ$75,77,0)</f>
        <v>0</v>
      </c>
      <c r="AA20" s="403">
        <f>_xlfn.IFNA(VLOOKUP($C20,Bowling!$B$39:$DX$66,24,0),0)</f>
        <v>0</v>
      </c>
      <c r="AB20" s="404">
        <f>_xlfn.IFNA(VLOOKUP($C20,Bowling!$B$39:$DX$66,29,0),0)</f>
        <v>0</v>
      </c>
      <c r="AC20" s="404">
        <f>_xlfn.IFNA(VLOOKUP($C20,Bowling!$B$39:$DX$66,34,0),0)</f>
        <v>0</v>
      </c>
      <c r="AD20" s="404">
        <f>_xlfn.IFNA(VLOOKUP($C20,Bowling!$B$39:$DX$66,39,0),0)</f>
        <v>0</v>
      </c>
      <c r="AE20" s="404">
        <f>_xlfn.IFNA(VLOOKUP($C20,Bowling!$B$39:$DX$66,44,0),0)</f>
        <v>0</v>
      </c>
      <c r="AF20" s="404">
        <f>_xlfn.IFNA(VLOOKUP($C20,Bowling!$B$39:$DX$66,49,0),0)</f>
        <v>0</v>
      </c>
      <c r="AG20" s="404">
        <f>_xlfn.IFNA(VLOOKUP($C20,Bowling!$B$39:$DX$66,54,0),0)</f>
        <v>0</v>
      </c>
      <c r="AH20" s="404">
        <f>_xlfn.IFNA(VLOOKUP($C20,Bowling!$B$39:$DX$66,59,0),0)</f>
        <v>16.399999999999999</v>
      </c>
      <c r="AI20" s="404">
        <f>_xlfn.IFNA(VLOOKUP($C20,Bowling!$B$39:$DX$66,64,0),0)</f>
        <v>0</v>
      </c>
      <c r="AJ20" s="404">
        <f>_xlfn.IFNA(VLOOKUP($C20,Bowling!$B$39:$DX$66,69,0),0)</f>
        <v>0</v>
      </c>
      <c r="AK20" s="404">
        <f>_xlfn.IFNA(VLOOKUP($C20,Bowling!$B$39:$DX$66,74,0),0)</f>
        <v>0</v>
      </c>
      <c r="AL20" s="404">
        <f>_xlfn.IFNA(VLOOKUP($C20,Bowling!$B$39:$DX$66,79,0),0)</f>
        <v>0</v>
      </c>
      <c r="AM20" s="404">
        <f>_xlfn.IFNA(VLOOKUP($C20,Bowling!$B$39:$DX$66,84,0),0)</f>
        <v>0</v>
      </c>
      <c r="AN20" s="404">
        <f>_xlfn.IFNA(VLOOKUP($C20,Bowling!$B$39:$DX$66,89,0),0)</f>
        <v>0</v>
      </c>
      <c r="AO20" s="404">
        <f>_xlfn.IFNA(VLOOKUP($C20,Bowling!$B$39:$DX$66,94,0),0)</f>
        <v>0</v>
      </c>
      <c r="AP20" s="404">
        <f>_xlfn.IFNA(VLOOKUP($C20,Bowling!$B$39:$DX$66,99,0),0)</f>
        <v>0</v>
      </c>
      <c r="AQ20" s="404">
        <f>_xlfn.IFNA(VLOOKUP($C20,Bowling!$B$39:$DX$66,104,0),0)</f>
        <v>0</v>
      </c>
      <c r="AR20" s="404">
        <f>_xlfn.IFNA(VLOOKUP($C20,Bowling!$B$39:$DX$66,109,0),0)</f>
        <v>0</v>
      </c>
      <c r="AS20" s="404">
        <f>_xlfn.IFNA(VLOOKUP($C20,Bowling!$B$39:$DX$66,114,0),0)</f>
        <v>0</v>
      </c>
      <c r="AT20" s="404">
        <f>_xlfn.IFNA(VLOOKUP($C20,Bowling!$B$39:$DX$66,119,0),0)</f>
        <v>0</v>
      </c>
      <c r="AU20" s="405">
        <f>_xlfn.IFNA(VLOOKUP($C20,Bowling!$B$39:$DX$66,124,0),0)</f>
        <v>0</v>
      </c>
      <c r="AV20" s="403">
        <f>_xlfn.IFNA(VLOOKUP($C20,Fielding!$B$23:$CN$36,8,0),0)</f>
        <v>0</v>
      </c>
      <c r="AW20" s="404">
        <f>_xlfn.IFNA(VLOOKUP($C20,Fielding!$B$23:$CN$36,12,0),0)</f>
        <v>0</v>
      </c>
      <c r="AX20" s="404">
        <f>_xlfn.IFNA(VLOOKUP($C20,Fielding!$B$23:$CN$36,16,0),0)</f>
        <v>0</v>
      </c>
      <c r="AY20" s="404">
        <f>_xlfn.IFNA(VLOOKUP($C20,Fielding!$B$23:$CN$36,20,0),0)</f>
        <v>0</v>
      </c>
      <c r="AZ20" s="404">
        <f>_xlfn.IFNA(VLOOKUP($C20,Fielding!$B$23:$CN$36,24,0),0)</f>
        <v>0</v>
      </c>
      <c r="BA20" s="404">
        <f>_xlfn.IFNA(VLOOKUP($C20,Fielding!$B$23:$CN$36,28,0),0)</f>
        <v>0</v>
      </c>
      <c r="BB20" s="404">
        <f>_xlfn.IFNA(VLOOKUP($C20,Fielding!$B$23:$CN$36,32,0),0)</f>
        <v>0</v>
      </c>
      <c r="BC20" s="404">
        <f>_xlfn.IFNA(VLOOKUP($C20,Fielding!$B$23:$CN$36,36,0),0)</f>
        <v>0</v>
      </c>
      <c r="BD20" s="404">
        <f>_xlfn.IFNA(VLOOKUP($C20,Fielding!$B$23:$CN$36,40,0),0)</f>
        <v>0</v>
      </c>
      <c r="BE20" s="404">
        <f>_xlfn.IFNA(VLOOKUP($C20,Fielding!$B$23:$CN$36,44,0),0)</f>
        <v>0</v>
      </c>
      <c r="BF20" s="404">
        <f>_xlfn.IFNA(VLOOKUP($C20,Fielding!$B$23:$CN$36,48,0),0)</f>
        <v>0</v>
      </c>
      <c r="BG20" s="404">
        <f>_xlfn.IFNA(VLOOKUP($C20,Fielding!$B$23:$CN$36,52,0),0)</f>
        <v>0</v>
      </c>
      <c r="BH20" s="404">
        <f>_xlfn.IFNA(VLOOKUP($C20,Fielding!$B$23:$CN$36,56,0),0)</f>
        <v>0</v>
      </c>
      <c r="BI20" s="404">
        <f>_xlfn.IFNA(VLOOKUP($C20,Fielding!$B$23:$CN$36,60,0),0)</f>
        <v>0</v>
      </c>
      <c r="BJ20" s="404">
        <f>_xlfn.IFNA(VLOOKUP($C20,Fielding!$B$23:$CN$36,64,0),0)</f>
        <v>0</v>
      </c>
      <c r="BK20" s="404">
        <f>_xlfn.IFNA(VLOOKUP($C20,Fielding!$B$23:$CN$36,68,0),0)</f>
        <v>0</v>
      </c>
      <c r="BL20" s="404">
        <f>_xlfn.IFNA(VLOOKUP($C20,Fielding!$B$23:$CN$36,72,0),0)</f>
        <v>0</v>
      </c>
      <c r="BM20" s="404">
        <f>_xlfn.IFNA(VLOOKUP($C20,Fielding!$B$23:$CN$36,76,0),0)</f>
        <v>0</v>
      </c>
      <c r="BN20" s="404">
        <f>_xlfn.IFNA(VLOOKUP($C20,Fielding!$B$23:$CN$36,80,0),0)</f>
        <v>0</v>
      </c>
      <c r="BO20" s="404">
        <f>_xlfn.IFNA(VLOOKUP($C20,Fielding!$B$23:$CN$36,84,0),0)</f>
        <v>0</v>
      </c>
      <c r="BP20" s="405">
        <f>_xlfn.IFNA(VLOOKUP($C20,Fielding!$B$23:$CN$36,88,0),0)</f>
        <v>0</v>
      </c>
      <c r="BQ20" s="403">
        <f t="shared" si="0"/>
        <v>0</v>
      </c>
      <c r="BR20" s="404">
        <f t="shared" si="1"/>
        <v>0</v>
      </c>
      <c r="BS20" s="404">
        <f t="shared" si="2"/>
        <v>0</v>
      </c>
      <c r="BT20" s="404">
        <f t="shared" si="3"/>
        <v>0</v>
      </c>
      <c r="BU20" s="404">
        <f t="shared" si="4"/>
        <v>0</v>
      </c>
      <c r="BV20" s="404">
        <f t="shared" si="5"/>
        <v>0</v>
      </c>
      <c r="BW20" s="404">
        <f t="shared" si="6"/>
        <v>0</v>
      </c>
      <c r="BX20" s="404">
        <f t="shared" si="7"/>
        <v>16.399999999999999</v>
      </c>
      <c r="BY20" s="404">
        <f t="shared" si="8"/>
        <v>0</v>
      </c>
      <c r="BZ20" s="404">
        <f t="shared" si="9"/>
        <v>0</v>
      </c>
      <c r="CA20" s="404">
        <f t="shared" si="10"/>
        <v>0</v>
      </c>
      <c r="CB20" s="404">
        <f t="shared" si="11"/>
        <v>0</v>
      </c>
      <c r="CC20" s="404">
        <f t="shared" si="12"/>
        <v>0</v>
      </c>
      <c r="CD20" s="404">
        <f t="shared" si="13"/>
        <v>0</v>
      </c>
      <c r="CE20" s="404">
        <f t="shared" si="14"/>
        <v>0</v>
      </c>
      <c r="CF20" s="404">
        <f t="shared" si="15"/>
        <v>0</v>
      </c>
      <c r="CG20" s="404">
        <f t="shared" si="16"/>
        <v>0</v>
      </c>
      <c r="CH20" s="404">
        <f t="shared" si="17"/>
        <v>0</v>
      </c>
      <c r="CI20" s="404">
        <f t="shared" si="18"/>
        <v>0</v>
      </c>
      <c r="CJ20" s="404">
        <f t="shared" si="19"/>
        <v>0</v>
      </c>
      <c r="CK20" s="405">
        <f t="shared" si="20"/>
        <v>0</v>
      </c>
      <c r="CL20" s="403">
        <f t="shared" si="44"/>
        <v>0</v>
      </c>
      <c r="CM20" s="404">
        <f t="shared" si="45"/>
        <v>0</v>
      </c>
      <c r="CN20" s="404">
        <f t="shared" si="46"/>
        <v>0</v>
      </c>
      <c r="CO20" s="404">
        <f t="shared" si="47"/>
        <v>0</v>
      </c>
      <c r="CP20" s="404">
        <f t="shared" si="48"/>
        <v>0</v>
      </c>
      <c r="CQ20" s="404">
        <f t="shared" si="49"/>
        <v>0</v>
      </c>
      <c r="CR20" s="404">
        <f t="shared" si="50"/>
        <v>0</v>
      </c>
      <c r="CS20" s="404">
        <f t="shared" si="51"/>
        <v>16.399999999999999</v>
      </c>
      <c r="CT20" s="404">
        <f t="shared" si="52"/>
        <v>16.399999999999999</v>
      </c>
      <c r="CU20" s="404">
        <f t="shared" si="53"/>
        <v>16.399999999999999</v>
      </c>
      <c r="CV20" s="404">
        <f t="shared" si="54"/>
        <v>16.399999999999999</v>
      </c>
      <c r="CW20" s="404">
        <f t="shared" si="55"/>
        <v>16.399999999999999</v>
      </c>
      <c r="CX20" s="404">
        <f t="shared" si="56"/>
        <v>16.399999999999999</v>
      </c>
      <c r="CY20" s="404">
        <f t="shared" si="57"/>
        <v>16.399999999999999</v>
      </c>
      <c r="CZ20" s="404">
        <f t="shared" si="58"/>
        <v>16.399999999999999</v>
      </c>
      <c r="DA20" s="404">
        <f t="shared" si="59"/>
        <v>16.399999999999999</v>
      </c>
      <c r="DB20" s="404">
        <f t="shared" si="60"/>
        <v>16.399999999999999</v>
      </c>
      <c r="DC20" s="404">
        <f t="shared" si="61"/>
        <v>16.399999999999999</v>
      </c>
      <c r="DD20" s="404">
        <f t="shared" si="62"/>
        <v>16.399999999999999</v>
      </c>
      <c r="DE20" s="404">
        <f t="shared" si="63"/>
        <v>16.399999999999999</v>
      </c>
      <c r="DF20" s="405">
        <f t="shared" si="64"/>
        <v>16.399999999999999</v>
      </c>
      <c r="DG20" s="414" t="str">
        <f t="shared" si="22"/>
        <v>-</v>
      </c>
      <c r="DH20" s="415" t="str">
        <f t="shared" si="23"/>
        <v>-</v>
      </c>
      <c r="DI20" s="415" t="str">
        <f t="shared" si="24"/>
        <v>-</v>
      </c>
      <c r="DJ20" s="415" t="str">
        <f t="shared" si="25"/>
        <v>-</v>
      </c>
      <c r="DK20" s="415" t="str">
        <f t="shared" si="26"/>
        <v>-</v>
      </c>
      <c r="DL20" s="415" t="str">
        <f t="shared" si="27"/>
        <v>-</v>
      </c>
      <c r="DM20" s="415" t="str">
        <f t="shared" si="28"/>
        <v>-</v>
      </c>
      <c r="DN20" s="415">
        <f t="shared" si="29"/>
        <v>11</v>
      </c>
      <c r="DO20" s="415">
        <f t="shared" si="30"/>
        <v>13</v>
      </c>
      <c r="DP20" s="415">
        <f t="shared" si="31"/>
        <v>15</v>
      </c>
      <c r="DQ20" s="415">
        <f t="shared" si="32"/>
        <v>15</v>
      </c>
      <c r="DR20" s="415">
        <f t="shared" si="33"/>
        <v>17</v>
      </c>
      <c r="DS20" s="415">
        <f t="shared" si="34"/>
        <v>17</v>
      </c>
      <c r="DT20" s="415">
        <f t="shared" si="35"/>
        <v>17</v>
      </c>
      <c r="DU20" s="415">
        <f t="shared" si="36"/>
        <v>17</v>
      </c>
      <c r="DV20" s="415">
        <f t="shared" si="37"/>
        <v>17</v>
      </c>
      <c r="DW20" s="415">
        <f t="shared" si="38"/>
        <v>18</v>
      </c>
      <c r="DX20" s="415">
        <f t="shared" si="39"/>
        <v>19</v>
      </c>
      <c r="DY20" s="415">
        <f t="shared" si="40"/>
        <v>19</v>
      </c>
      <c r="DZ20" s="415">
        <f t="shared" si="41"/>
        <v>19</v>
      </c>
      <c r="EA20" s="416">
        <f t="shared" si="42"/>
        <v>19</v>
      </c>
    </row>
    <row r="21" spans="1:131" x14ac:dyDescent="0.2">
      <c r="A21" s="119"/>
      <c r="B21" s="157">
        <f t="shared" si="43"/>
        <v>19</v>
      </c>
      <c r="C21" s="158" t="s">
        <v>217</v>
      </c>
      <c r="D21" s="159" t="s">
        <v>188</v>
      </c>
      <c r="E21" s="409">
        <f>IF(ISNA(VLOOKUP($C21,Batting!$B$5:$M$103,3,FALSE)),0,(VLOOKUP($C21,Batting!$B$5:$M$103,3,FALSE)))</f>
        <v>6</v>
      </c>
      <c r="F21" s="403">
        <f>VLOOKUP($C21,Batting!$B$44:$BZ$75,17,0)</f>
        <v>0</v>
      </c>
      <c r="G21" s="404">
        <f>VLOOKUP($C21,Batting!$B$44:$BZ$75,20,0)</f>
        <v>0</v>
      </c>
      <c r="H21" s="404">
        <f>VLOOKUP($C21,Batting!$B$44:$BZ$75,23,0)</f>
        <v>0</v>
      </c>
      <c r="I21" s="404">
        <f>VLOOKUP($C21,Batting!$B$44:$BZ$75,26,0)</f>
        <v>8</v>
      </c>
      <c r="J21" s="404">
        <f>VLOOKUP($C21,Batting!$B$44:$BZ$75,29,0)</f>
        <v>0</v>
      </c>
      <c r="K21" s="404">
        <f>VLOOKUP($C21,Batting!$B$44:$BZ$75,32,0)</f>
        <v>0</v>
      </c>
      <c r="L21" s="404">
        <f>VLOOKUP($C21,Batting!$B$44:$BZ$75,35,0)</f>
        <v>0</v>
      </c>
      <c r="M21" s="404">
        <f>VLOOKUP($C21,Batting!$B$44:$BZ$75,38,0)</f>
        <v>5</v>
      </c>
      <c r="N21" s="404">
        <f>VLOOKUP($C21,Batting!$B$44:$BZ$75,41,0)</f>
        <v>0</v>
      </c>
      <c r="O21" s="404">
        <f>VLOOKUP($C21,Batting!$B$44:$BZ$75,44,0)</f>
        <v>0</v>
      </c>
      <c r="P21" s="404">
        <f>VLOOKUP($C21,Batting!$B$44:$BZ$75,47,0)</f>
        <v>0</v>
      </c>
      <c r="Q21" s="404">
        <f>VLOOKUP($C21,Batting!$B$44:$BZ$75,50,0)</f>
        <v>-1</v>
      </c>
      <c r="R21" s="404">
        <f>VLOOKUP($C21,Batting!$B$44:$BZ$75,53,0)</f>
        <v>0</v>
      </c>
      <c r="S21" s="404">
        <f>VLOOKUP($C21,Batting!$B$44:$BZ$75,56,0)</f>
        <v>0</v>
      </c>
      <c r="T21" s="404">
        <f>VLOOKUP($C21,Batting!$B$44:$BZ$75,59,0)</f>
        <v>0</v>
      </c>
      <c r="U21" s="404">
        <f>VLOOKUP($C21,Batting!$B$44:$BZ$75,62,0)</f>
        <v>3</v>
      </c>
      <c r="V21" s="404">
        <f>VLOOKUP($C21,Batting!$B$44:$BZ$75,65,0)</f>
        <v>0</v>
      </c>
      <c r="W21" s="404">
        <f>VLOOKUP($C21,Batting!$B$44:$BZ$75,68,0)</f>
        <v>-6</v>
      </c>
      <c r="X21" s="404">
        <f>VLOOKUP($C21,Batting!$B$44:$BZ$75,71,0)</f>
        <v>1</v>
      </c>
      <c r="Y21" s="404">
        <f>VLOOKUP($C21,Batting!$B$44:$BZ$75,74,0)</f>
        <v>0</v>
      </c>
      <c r="Z21" s="405">
        <f>VLOOKUP($C21,Batting!$B$44:$BZ$75,77,0)</f>
        <v>0</v>
      </c>
      <c r="AA21" s="403">
        <f>_xlfn.IFNA(VLOOKUP($C21,Bowling!$B$39:$DX$66,24,0),0)</f>
        <v>0</v>
      </c>
      <c r="AB21" s="404">
        <f>_xlfn.IFNA(VLOOKUP($C21,Bowling!$B$39:$DX$66,29,0),0)</f>
        <v>0</v>
      </c>
      <c r="AC21" s="404">
        <f>_xlfn.IFNA(VLOOKUP($C21,Bowling!$B$39:$DX$66,34,0),0)</f>
        <v>0</v>
      </c>
      <c r="AD21" s="404">
        <f>_xlfn.IFNA(VLOOKUP($C21,Bowling!$B$39:$DX$66,39,0),0)</f>
        <v>0</v>
      </c>
      <c r="AE21" s="404">
        <f>_xlfn.IFNA(VLOOKUP($C21,Bowling!$B$39:$DX$66,44,0),0)</f>
        <v>0</v>
      </c>
      <c r="AF21" s="404">
        <f>_xlfn.IFNA(VLOOKUP($C21,Bowling!$B$39:$DX$66,49,0),0)</f>
        <v>0</v>
      </c>
      <c r="AG21" s="404">
        <f>_xlfn.IFNA(VLOOKUP($C21,Bowling!$B$39:$DX$66,54,0),0)</f>
        <v>0</v>
      </c>
      <c r="AH21" s="404">
        <f>_xlfn.IFNA(VLOOKUP($C21,Bowling!$B$39:$DX$66,59,0),0)</f>
        <v>0</v>
      </c>
      <c r="AI21" s="404">
        <f>_xlfn.IFNA(VLOOKUP($C21,Bowling!$B$39:$DX$66,64,0),0)</f>
        <v>0</v>
      </c>
      <c r="AJ21" s="404">
        <f>_xlfn.IFNA(VLOOKUP($C21,Bowling!$B$39:$DX$66,69,0),0)</f>
        <v>0</v>
      </c>
      <c r="AK21" s="404">
        <f>_xlfn.IFNA(VLOOKUP($C21,Bowling!$B$39:$DX$66,74,0),0)</f>
        <v>0</v>
      </c>
      <c r="AL21" s="404">
        <f>_xlfn.IFNA(VLOOKUP($C21,Bowling!$B$39:$DX$66,79,0),0)</f>
        <v>0</v>
      </c>
      <c r="AM21" s="404">
        <f>_xlfn.IFNA(VLOOKUP($C21,Bowling!$B$39:$DX$66,84,0),0)</f>
        <v>0</v>
      </c>
      <c r="AN21" s="404">
        <f>_xlfn.IFNA(VLOOKUP($C21,Bowling!$B$39:$DX$66,89,0),0)</f>
        <v>0</v>
      </c>
      <c r="AO21" s="404">
        <f>_xlfn.IFNA(VLOOKUP($C21,Bowling!$B$39:$DX$66,94,0),0)</f>
        <v>0</v>
      </c>
      <c r="AP21" s="404">
        <f>_xlfn.IFNA(VLOOKUP($C21,Bowling!$B$39:$DX$66,99,0),0)</f>
        <v>0</v>
      </c>
      <c r="AQ21" s="404">
        <f>_xlfn.IFNA(VLOOKUP($C21,Bowling!$B$39:$DX$66,104,0),0)</f>
        <v>0</v>
      </c>
      <c r="AR21" s="404">
        <f>_xlfn.IFNA(VLOOKUP($C21,Bowling!$B$39:$DX$66,109,0),0)</f>
        <v>0</v>
      </c>
      <c r="AS21" s="404">
        <f>_xlfn.IFNA(VLOOKUP($C21,Bowling!$B$39:$DX$66,114,0),0)</f>
        <v>0</v>
      </c>
      <c r="AT21" s="404">
        <f>_xlfn.IFNA(VLOOKUP($C21,Bowling!$B$39:$DX$66,119,0),0)</f>
        <v>0</v>
      </c>
      <c r="AU21" s="405">
        <f>_xlfn.IFNA(VLOOKUP($C21,Bowling!$B$39:$DX$66,124,0),0)</f>
        <v>0</v>
      </c>
      <c r="AV21" s="403">
        <f>_xlfn.IFNA(VLOOKUP($C21,Fielding!$B$23:$CN$36,8,0),0)</f>
        <v>0</v>
      </c>
      <c r="AW21" s="404">
        <f>_xlfn.IFNA(VLOOKUP($C21,Fielding!$B$23:$CN$36,12,0),0)</f>
        <v>0</v>
      </c>
      <c r="AX21" s="404">
        <f>_xlfn.IFNA(VLOOKUP($C21,Fielding!$B$23:$CN$36,16,0),0)</f>
        <v>0</v>
      </c>
      <c r="AY21" s="404">
        <f>_xlfn.IFNA(VLOOKUP($C21,Fielding!$B$23:$CN$36,20,0),0)</f>
        <v>0</v>
      </c>
      <c r="AZ21" s="404">
        <f>_xlfn.IFNA(VLOOKUP($C21,Fielding!$B$23:$CN$36,24,0),0)</f>
        <v>0</v>
      </c>
      <c r="BA21" s="404">
        <f>_xlfn.IFNA(VLOOKUP($C21,Fielding!$B$23:$CN$36,28,0),0)</f>
        <v>0</v>
      </c>
      <c r="BB21" s="404">
        <f>_xlfn.IFNA(VLOOKUP($C21,Fielding!$B$23:$CN$36,32,0),0)</f>
        <v>0</v>
      </c>
      <c r="BC21" s="404">
        <f>_xlfn.IFNA(VLOOKUP($C21,Fielding!$B$23:$CN$36,36,0),0)</f>
        <v>0</v>
      </c>
      <c r="BD21" s="404">
        <f>_xlfn.IFNA(VLOOKUP($C21,Fielding!$B$23:$CN$36,40,0),0)</f>
        <v>0</v>
      </c>
      <c r="BE21" s="404">
        <f>_xlfn.IFNA(VLOOKUP($C21,Fielding!$B$23:$CN$36,44,0),0)</f>
        <v>0</v>
      </c>
      <c r="BF21" s="404">
        <f>_xlfn.IFNA(VLOOKUP($C21,Fielding!$B$23:$CN$36,48,0),0)</f>
        <v>0</v>
      </c>
      <c r="BG21" s="404">
        <f>_xlfn.IFNA(VLOOKUP($C21,Fielding!$B$23:$CN$36,52,0),0)</f>
        <v>0</v>
      </c>
      <c r="BH21" s="404">
        <f>_xlfn.IFNA(VLOOKUP($C21,Fielding!$B$23:$CN$36,56,0),0)</f>
        <v>0</v>
      </c>
      <c r="BI21" s="404">
        <f>_xlfn.IFNA(VLOOKUP($C21,Fielding!$B$23:$CN$36,60,0),0)</f>
        <v>0</v>
      </c>
      <c r="BJ21" s="404">
        <f>_xlfn.IFNA(VLOOKUP($C21,Fielding!$B$23:$CN$36,64,0),0)</f>
        <v>0</v>
      </c>
      <c r="BK21" s="404">
        <f>_xlfn.IFNA(VLOOKUP($C21,Fielding!$B$23:$CN$36,68,0),0)</f>
        <v>0</v>
      </c>
      <c r="BL21" s="404">
        <f>_xlfn.IFNA(VLOOKUP($C21,Fielding!$B$23:$CN$36,72,0),0)</f>
        <v>0</v>
      </c>
      <c r="BM21" s="404">
        <f>_xlfn.IFNA(VLOOKUP($C21,Fielding!$B$23:$CN$36,76,0),0)</f>
        <v>0</v>
      </c>
      <c r="BN21" s="404">
        <f>_xlfn.IFNA(VLOOKUP($C21,Fielding!$B$23:$CN$36,80,0),0)</f>
        <v>0</v>
      </c>
      <c r="BO21" s="404">
        <f>_xlfn.IFNA(VLOOKUP($C21,Fielding!$B$23:$CN$36,84,0),0)</f>
        <v>0</v>
      </c>
      <c r="BP21" s="405">
        <f>_xlfn.IFNA(VLOOKUP($C21,Fielding!$B$23:$CN$36,88,0),0)</f>
        <v>0</v>
      </c>
      <c r="BQ21" s="403">
        <f t="shared" si="0"/>
        <v>0</v>
      </c>
      <c r="BR21" s="404">
        <f t="shared" si="1"/>
        <v>0</v>
      </c>
      <c r="BS21" s="404">
        <f t="shared" si="2"/>
        <v>0</v>
      </c>
      <c r="BT21" s="404">
        <f t="shared" si="3"/>
        <v>8</v>
      </c>
      <c r="BU21" s="404">
        <f t="shared" si="4"/>
        <v>0</v>
      </c>
      <c r="BV21" s="404">
        <f t="shared" si="5"/>
        <v>0</v>
      </c>
      <c r="BW21" s="404">
        <f t="shared" si="6"/>
        <v>0</v>
      </c>
      <c r="BX21" s="404">
        <f t="shared" si="7"/>
        <v>5</v>
      </c>
      <c r="BY21" s="404">
        <f t="shared" si="8"/>
        <v>0</v>
      </c>
      <c r="BZ21" s="404">
        <f t="shared" si="9"/>
        <v>0</v>
      </c>
      <c r="CA21" s="404">
        <f t="shared" si="10"/>
        <v>0</v>
      </c>
      <c r="CB21" s="404">
        <f t="shared" si="11"/>
        <v>-1</v>
      </c>
      <c r="CC21" s="404">
        <f t="shared" si="12"/>
        <v>0</v>
      </c>
      <c r="CD21" s="404">
        <f t="shared" si="13"/>
        <v>0</v>
      </c>
      <c r="CE21" s="404">
        <f t="shared" si="14"/>
        <v>0</v>
      </c>
      <c r="CF21" s="404">
        <f t="shared" si="15"/>
        <v>3</v>
      </c>
      <c r="CG21" s="404">
        <f t="shared" si="16"/>
        <v>0</v>
      </c>
      <c r="CH21" s="404">
        <f t="shared" si="17"/>
        <v>-6</v>
      </c>
      <c r="CI21" s="404">
        <f t="shared" si="18"/>
        <v>1</v>
      </c>
      <c r="CJ21" s="404">
        <f t="shared" si="19"/>
        <v>0</v>
      </c>
      <c r="CK21" s="405">
        <f t="shared" si="20"/>
        <v>0</v>
      </c>
      <c r="CL21" s="403">
        <f t="shared" si="44"/>
        <v>0</v>
      </c>
      <c r="CM21" s="404">
        <f t="shared" si="45"/>
        <v>0</v>
      </c>
      <c r="CN21" s="404">
        <f t="shared" si="46"/>
        <v>0</v>
      </c>
      <c r="CO21" s="404">
        <f t="shared" si="47"/>
        <v>8</v>
      </c>
      <c r="CP21" s="404">
        <f t="shared" si="48"/>
        <v>8</v>
      </c>
      <c r="CQ21" s="404">
        <f t="shared" si="49"/>
        <v>8</v>
      </c>
      <c r="CR21" s="404">
        <f t="shared" si="50"/>
        <v>8</v>
      </c>
      <c r="CS21" s="404">
        <f t="shared" si="51"/>
        <v>13</v>
      </c>
      <c r="CT21" s="404">
        <f t="shared" si="52"/>
        <v>13</v>
      </c>
      <c r="CU21" s="404">
        <f t="shared" si="53"/>
        <v>13</v>
      </c>
      <c r="CV21" s="404">
        <f t="shared" si="54"/>
        <v>13</v>
      </c>
      <c r="CW21" s="404">
        <f t="shared" si="55"/>
        <v>12</v>
      </c>
      <c r="CX21" s="404">
        <f t="shared" si="56"/>
        <v>12</v>
      </c>
      <c r="CY21" s="404">
        <f t="shared" si="57"/>
        <v>12</v>
      </c>
      <c r="CZ21" s="404">
        <f t="shared" si="58"/>
        <v>12</v>
      </c>
      <c r="DA21" s="404">
        <f t="shared" si="59"/>
        <v>15</v>
      </c>
      <c r="DB21" s="404">
        <f t="shared" si="60"/>
        <v>15</v>
      </c>
      <c r="DC21" s="404">
        <f t="shared" si="61"/>
        <v>9</v>
      </c>
      <c r="DD21" s="404">
        <f t="shared" si="62"/>
        <v>10</v>
      </c>
      <c r="DE21" s="404">
        <f t="shared" si="63"/>
        <v>10</v>
      </c>
      <c r="DF21" s="405">
        <f t="shared" si="64"/>
        <v>10</v>
      </c>
      <c r="DG21" s="414" t="str">
        <f t="shared" si="22"/>
        <v>-</v>
      </c>
      <c r="DH21" s="415" t="str">
        <f t="shared" si="23"/>
        <v>-</v>
      </c>
      <c r="DI21" s="415" t="str">
        <f t="shared" si="24"/>
        <v>-</v>
      </c>
      <c r="DJ21" s="415">
        <f t="shared" si="25"/>
        <v>10</v>
      </c>
      <c r="DK21" s="415">
        <f t="shared" si="26"/>
        <v>11</v>
      </c>
      <c r="DL21" s="415">
        <f t="shared" si="27"/>
        <v>11</v>
      </c>
      <c r="DM21" s="415">
        <f t="shared" si="28"/>
        <v>13</v>
      </c>
      <c r="DN21" s="415">
        <f t="shared" si="29"/>
        <v>13</v>
      </c>
      <c r="DO21" s="415">
        <f t="shared" si="30"/>
        <v>15</v>
      </c>
      <c r="DP21" s="415">
        <f t="shared" si="31"/>
        <v>17</v>
      </c>
      <c r="DQ21" s="415">
        <f t="shared" si="32"/>
        <v>18</v>
      </c>
      <c r="DR21" s="415">
        <f t="shared" si="33"/>
        <v>20</v>
      </c>
      <c r="DS21" s="415">
        <f t="shared" si="34"/>
        <v>20</v>
      </c>
      <c r="DT21" s="415">
        <f t="shared" si="35"/>
        <v>20</v>
      </c>
      <c r="DU21" s="415">
        <f t="shared" si="36"/>
        <v>20</v>
      </c>
      <c r="DV21" s="415">
        <f t="shared" si="37"/>
        <v>18</v>
      </c>
      <c r="DW21" s="415">
        <f t="shared" si="38"/>
        <v>19</v>
      </c>
      <c r="DX21" s="415">
        <f t="shared" si="39"/>
        <v>24</v>
      </c>
      <c r="DY21" s="415">
        <f t="shared" si="40"/>
        <v>24</v>
      </c>
      <c r="DZ21" s="415">
        <f t="shared" si="41"/>
        <v>24</v>
      </c>
      <c r="EA21" s="416">
        <f t="shared" si="42"/>
        <v>24</v>
      </c>
    </row>
    <row r="22" spans="1:131" x14ac:dyDescent="0.2">
      <c r="A22" s="119"/>
      <c r="B22" s="157">
        <f t="shared" si="43"/>
        <v>20</v>
      </c>
      <c r="C22" s="158" t="s">
        <v>273</v>
      </c>
      <c r="D22" s="159" t="s">
        <v>274</v>
      </c>
      <c r="E22" s="409">
        <f>IF(ISNA(VLOOKUP($C22,Batting!$B$5:$M$103,3,FALSE)),0,(VLOOKUP($C22,Batting!$B$5:$M$103,3,FALSE)))</f>
        <v>3</v>
      </c>
      <c r="F22" s="403">
        <f>VLOOKUP($C22,Batting!$B$44:$BZ$75,17,0)</f>
        <v>0</v>
      </c>
      <c r="G22" s="404">
        <f>VLOOKUP($C22,Batting!$B$44:$BZ$75,20,0)</f>
        <v>0</v>
      </c>
      <c r="H22" s="404">
        <f>VLOOKUP($C22,Batting!$B$44:$BZ$75,23,0)</f>
        <v>0</v>
      </c>
      <c r="I22" s="404">
        <f>VLOOKUP($C22,Batting!$B$44:$BZ$75,26,0)</f>
        <v>0</v>
      </c>
      <c r="J22" s="404">
        <f>VLOOKUP($C22,Batting!$B$44:$BZ$75,29,0)</f>
        <v>0</v>
      </c>
      <c r="K22" s="404">
        <f>VLOOKUP($C22,Batting!$B$44:$BZ$75,32,0)</f>
        <v>0</v>
      </c>
      <c r="L22" s="404">
        <f>VLOOKUP($C22,Batting!$B$44:$BZ$75,35,0)</f>
        <v>16</v>
      </c>
      <c r="M22" s="404">
        <f>VLOOKUP($C22,Batting!$B$44:$BZ$75,38,0)</f>
        <v>-7</v>
      </c>
      <c r="N22" s="404">
        <f>VLOOKUP($C22,Batting!$B$44:$BZ$75,41,0)</f>
        <v>0</v>
      </c>
      <c r="O22" s="404">
        <f>VLOOKUP($C22,Batting!$B$44:$BZ$75,44,0)</f>
        <v>0</v>
      </c>
      <c r="P22" s="404">
        <f>VLOOKUP($C22,Batting!$B$44:$BZ$75,47,0)</f>
        <v>0</v>
      </c>
      <c r="Q22" s="404">
        <f>VLOOKUP($C22,Batting!$B$44:$BZ$75,50,0)</f>
        <v>0</v>
      </c>
      <c r="R22" s="404">
        <f>VLOOKUP($C22,Batting!$B$44:$BZ$75,53,0)</f>
        <v>0</v>
      </c>
      <c r="S22" s="404">
        <f>VLOOKUP($C22,Batting!$B$44:$BZ$75,56,0)</f>
        <v>0</v>
      </c>
      <c r="T22" s="404">
        <f>VLOOKUP($C22,Batting!$B$44:$BZ$75,59,0)</f>
        <v>0</v>
      </c>
      <c r="U22" s="404">
        <f>VLOOKUP($C22,Batting!$B$44:$BZ$75,62,0)</f>
        <v>0</v>
      </c>
      <c r="V22" s="404">
        <f>VLOOKUP($C22,Batting!$B$44:$BZ$75,65,0)</f>
        <v>0</v>
      </c>
      <c r="W22" s="404">
        <f>VLOOKUP($C22,Batting!$B$44:$BZ$75,68,0)</f>
        <v>0</v>
      </c>
      <c r="X22" s="404">
        <f>VLOOKUP($C22,Batting!$B$44:$BZ$75,71,0)</f>
        <v>0</v>
      </c>
      <c r="Y22" s="404">
        <f>VLOOKUP($C22,Batting!$B$44:$BZ$75,74,0)</f>
        <v>0</v>
      </c>
      <c r="Z22" s="405">
        <f>VLOOKUP($C22,Batting!$B$44:$BZ$75,77,0)</f>
        <v>0</v>
      </c>
      <c r="AA22" s="403">
        <f>_xlfn.IFNA(VLOOKUP($C22,Bowling!$B$39:$DX$66,24,0),0)</f>
        <v>0</v>
      </c>
      <c r="AB22" s="404">
        <f>_xlfn.IFNA(VLOOKUP($C22,Bowling!$B$39:$DX$66,29,0),0)</f>
        <v>0</v>
      </c>
      <c r="AC22" s="404">
        <f>_xlfn.IFNA(VLOOKUP($C22,Bowling!$B$39:$DX$66,34,0),0)</f>
        <v>0</v>
      </c>
      <c r="AD22" s="404">
        <f>_xlfn.IFNA(VLOOKUP($C22,Bowling!$B$39:$DX$66,39,0),0)</f>
        <v>0</v>
      </c>
      <c r="AE22" s="404">
        <f>_xlfn.IFNA(VLOOKUP($C22,Bowling!$B$39:$DX$66,44,0),0)</f>
        <v>0</v>
      </c>
      <c r="AF22" s="404">
        <f>_xlfn.IFNA(VLOOKUP($C22,Bowling!$B$39:$DX$66,49,0),0)</f>
        <v>0</v>
      </c>
      <c r="AG22" s="404">
        <f>_xlfn.IFNA(VLOOKUP($C22,Bowling!$B$39:$DX$66,54,0),0)</f>
        <v>11.4</v>
      </c>
      <c r="AH22" s="404">
        <f>_xlfn.IFNA(VLOOKUP($C22,Bowling!$B$39:$DX$66,59,0),0)</f>
        <v>-6</v>
      </c>
      <c r="AI22" s="404">
        <f>_xlfn.IFNA(VLOOKUP($C22,Bowling!$B$39:$DX$66,64,0),0)</f>
        <v>0</v>
      </c>
      <c r="AJ22" s="404">
        <f>_xlfn.IFNA(VLOOKUP($C22,Bowling!$B$39:$DX$66,69,0),0)</f>
        <v>0</v>
      </c>
      <c r="AK22" s="404">
        <f>_xlfn.IFNA(VLOOKUP($C22,Bowling!$B$39:$DX$66,74,0),0)</f>
        <v>0</v>
      </c>
      <c r="AL22" s="404">
        <f>_xlfn.IFNA(VLOOKUP($C22,Bowling!$B$39:$DX$66,79,0),0)</f>
        <v>0</v>
      </c>
      <c r="AM22" s="404">
        <f>_xlfn.IFNA(VLOOKUP($C22,Bowling!$B$39:$DX$66,84,0),0)</f>
        <v>0</v>
      </c>
      <c r="AN22" s="404">
        <f>_xlfn.IFNA(VLOOKUP($C22,Bowling!$B$39:$DX$66,89,0),0)</f>
        <v>0</v>
      </c>
      <c r="AO22" s="404">
        <f>_xlfn.IFNA(VLOOKUP($C22,Bowling!$B$39:$DX$66,94,0),0)</f>
        <v>0</v>
      </c>
      <c r="AP22" s="404">
        <f>_xlfn.IFNA(VLOOKUP($C22,Bowling!$B$39:$DX$66,99,0),0)</f>
        <v>0</v>
      </c>
      <c r="AQ22" s="404">
        <f>_xlfn.IFNA(VLOOKUP($C22,Bowling!$B$39:$DX$66,104,0),0)</f>
        <v>0</v>
      </c>
      <c r="AR22" s="404">
        <f>_xlfn.IFNA(VLOOKUP($C22,Bowling!$B$39:$DX$66,109,0),0)</f>
        <v>0</v>
      </c>
      <c r="AS22" s="404">
        <f>_xlfn.IFNA(VLOOKUP($C22,Bowling!$B$39:$DX$66,114,0),0)</f>
        <v>0</v>
      </c>
      <c r="AT22" s="404">
        <f>_xlfn.IFNA(VLOOKUP($C22,Bowling!$B$39:$DX$66,119,0),0)</f>
        <v>0</v>
      </c>
      <c r="AU22" s="405">
        <f>_xlfn.IFNA(VLOOKUP($C22,Bowling!$B$39:$DX$66,124,0),0)</f>
        <v>0</v>
      </c>
      <c r="AV22" s="403">
        <f>_xlfn.IFNA(VLOOKUP($C22,Fielding!$B$23:$CN$36,8,0),0)</f>
        <v>0</v>
      </c>
      <c r="AW22" s="404">
        <f>_xlfn.IFNA(VLOOKUP($C22,Fielding!$B$23:$CN$36,12,0),0)</f>
        <v>0</v>
      </c>
      <c r="AX22" s="404">
        <f>_xlfn.IFNA(VLOOKUP($C22,Fielding!$B$23:$CN$36,16,0),0)</f>
        <v>0</v>
      </c>
      <c r="AY22" s="404">
        <f>_xlfn.IFNA(VLOOKUP($C22,Fielding!$B$23:$CN$36,20,0),0)</f>
        <v>0</v>
      </c>
      <c r="AZ22" s="404">
        <f>_xlfn.IFNA(VLOOKUP($C22,Fielding!$B$23:$CN$36,24,0),0)</f>
        <v>0</v>
      </c>
      <c r="BA22" s="404">
        <f>_xlfn.IFNA(VLOOKUP($C22,Fielding!$B$23:$CN$36,28,0),0)</f>
        <v>0</v>
      </c>
      <c r="BB22" s="404">
        <f>_xlfn.IFNA(VLOOKUP($C22,Fielding!$B$23:$CN$36,32,0),0)</f>
        <v>0</v>
      </c>
      <c r="BC22" s="404">
        <f>_xlfn.IFNA(VLOOKUP($C22,Fielding!$B$23:$CN$36,36,0),0)</f>
        <v>0</v>
      </c>
      <c r="BD22" s="404">
        <f>_xlfn.IFNA(VLOOKUP($C22,Fielding!$B$23:$CN$36,40,0),0)</f>
        <v>0</v>
      </c>
      <c r="BE22" s="404">
        <f>_xlfn.IFNA(VLOOKUP($C22,Fielding!$B$23:$CN$36,44,0),0)</f>
        <v>0</v>
      </c>
      <c r="BF22" s="404">
        <f>_xlfn.IFNA(VLOOKUP($C22,Fielding!$B$23:$CN$36,48,0),0)</f>
        <v>0</v>
      </c>
      <c r="BG22" s="404">
        <f>_xlfn.IFNA(VLOOKUP($C22,Fielding!$B$23:$CN$36,52,0),0)</f>
        <v>0</v>
      </c>
      <c r="BH22" s="404">
        <f>_xlfn.IFNA(VLOOKUP($C22,Fielding!$B$23:$CN$36,56,0),0)</f>
        <v>0</v>
      </c>
      <c r="BI22" s="404">
        <f>_xlfn.IFNA(VLOOKUP($C22,Fielding!$B$23:$CN$36,60,0),0)</f>
        <v>0</v>
      </c>
      <c r="BJ22" s="404">
        <f>_xlfn.IFNA(VLOOKUP($C22,Fielding!$B$23:$CN$36,64,0),0)</f>
        <v>0</v>
      </c>
      <c r="BK22" s="404">
        <f>_xlfn.IFNA(VLOOKUP($C22,Fielding!$B$23:$CN$36,68,0),0)</f>
        <v>0</v>
      </c>
      <c r="BL22" s="404">
        <f>_xlfn.IFNA(VLOOKUP($C22,Fielding!$B$23:$CN$36,72,0),0)</f>
        <v>0</v>
      </c>
      <c r="BM22" s="404">
        <f>_xlfn.IFNA(VLOOKUP($C22,Fielding!$B$23:$CN$36,76,0),0)</f>
        <v>0</v>
      </c>
      <c r="BN22" s="404">
        <f>_xlfn.IFNA(VLOOKUP($C22,Fielding!$B$23:$CN$36,80,0),0)</f>
        <v>0</v>
      </c>
      <c r="BO22" s="404">
        <f>_xlfn.IFNA(VLOOKUP($C22,Fielding!$B$23:$CN$36,84,0),0)</f>
        <v>0</v>
      </c>
      <c r="BP22" s="405">
        <f>_xlfn.IFNA(VLOOKUP($C22,Fielding!$B$23:$CN$36,88,0),0)</f>
        <v>0</v>
      </c>
      <c r="BQ22" s="403">
        <f t="shared" si="0"/>
        <v>0</v>
      </c>
      <c r="BR22" s="404">
        <f t="shared" si="1"/>
        <v>0</v>
      </c>
      <c r="BS22" s="404">
        <f t="shared" si="2"/>
        <v>0</v>
      </c>
      <c r="BT22" s="404">
        <f t="shared" si="3"/>
        <v>0</v>
      </c>
      <c r="BU22" s="404">
        <f t="shared" si="4"/>
        <v>0</v>
      </c>
      <c r="BV22" s="404">
        <f t="shared" si="5"/>
        <v>0</v>
      </c>
      <c r="BW22" s="404">
        <f t="shared" si="6"/>
        <v>27.4</v>
      </c>
      <c r="BX22" s="404">
        <f t="shared" si="7"/>
        <v>-13</v>
      </c>
      <c r="BY22" s="404">
        <f t="shared" si="8"/>
        <v>0</v>
      </c>
      <c r="BZ22" s="404">
        <f t="shared" si="9"/>
        <v>0</v>
      </c>
      <c r="CA22" s="404">
        <f t="shared" si="10"/>
        <v>0</v>
      </c>
      <c r="CB22" s="404">
        <f t="shared" si="11"/>
        <v>0</v>
      </c>
      <c r="CC22" s="404">
        <f t="shared" si="12"/>
        <v>0</v>
      </c>
      <c r="CD22" s="404">
        <f t="shared" si="13"/>
        <v>0</v>
      </c>
      <c r="CE22" s="404">
        <f t="shared" si="14"/>
        <v>0</v>
      </c>
      <c r="CF22" s="404">
        <f t="shared" si="15"/>
        <v>0</v>
      </c>
      <c r="CG22" s="404">
        <f t="shared" si="16"/>
        <v>0</v>
      </c>
      <c r="CH22" s="404">
        <f t="shared" si="17"/>
        <v>0</v>
      </c>
      <c r="CI22" s="404">
        <f t="shared" si="18"/>
        <v>0</v>
      </c>
      <c r="CJ22" s="404">
        <f t="shared" si="19"/>
        <v>0</v>
      </c>
      <c r="CK22" s="405">
        <f t="shared" si="20"/>
        <v>0</v>
      </c>
      <c r="CL22" s="403">
        <f t="shared" si="44"/>
        <v>0</v>
      </c>
      <c r="CM22" s="404">
        <f t="shared" si="45"/>
        <v>0</v>
      </c>
      <c r="CN22" s="404">
        <f t="shared" si="46"/>
        <v>0</v>
      </c>
      <c r="CO22" s="404">
        <f t="shared" si="47"/>
        <v>0</v>
      </c>
      <c r="CP22" s="404">
        <f t="shared" si="48"/>
        <v>0</v>
      </c>
      <c r="CQ22" s="404">
        <f t="shared" si="49"/>
        <v>0</v>
      </c>
      <c r="CR22" s="404">
        <f t="shared" si="50"/>
        <v>27.4</v>
      </c>
      <c r="CS22" s="404">
        <f t="shared" si="51"/>
        <v>14.399999999999999</v>
      </c>
      <c r="CT22" s="404">
        <f t="shared" si="52"/>
        <v>14.399999999999999</v>
      </c>
      <c r="CU22" s="404">
        <f t="shared" si="53"/>
        <v>14.399999999999999</v>
      </c>
      <c r="CV22" s="404">
        <f t="shared" si="54"/>
        <v>14.399999999999999</v>
      </c>
      <c r="CW22" s="404">
        <f t="shared" si="55"/>
        <v>14.399999999999999</v>
      </c>
      <c r="CX22" s="404">
        <f t="shared" si="56"/>
        <v>14.399999999999999</v>
      </c>
      <c r="CY22" s="404">
        <f t="shared" si="57"/>
        <v>14.399999999999999</v>
      </c>
      <c r="CZ22" s="404">
        <f t="shared" si="58"/>
        <v>14.399999999999999</v>
      </c>
      <c r="DA22" s="404">
        <f t="shared" si="59"/>
        <v>14.399999999999999</v>
      </c>
      <c r="DB22" s="404">
        <f t="shared" si="60"/>
        <v>14.399999999999999</v>
      </c>
      <c r="DC22" s="404">
        <f t="shared" si="61"/>
        <v>14.399999999999999</v>
      </c>
      <c r="DD22" s="404">
        <f t="shared" si="62"/>
        <v>14.399999999999999</v>
      </c>
      <c r="DE22" s="404">
        <f t="shared" si="63"/>
        <v>14.399999999999999</v>
      </c>
      <c r="DF22" s="405">
        <f t="shared" si="64"/>
        <v>14.399999999999999</v>
      </c>
      <c r="DG22" s="414" t="str">
        <f t="shared" si="22"/>
        <v>-</v>
      </c>
      <c r="DH22" s="415" t="str">
        <f t="shared" si="23"/>
        <v>-</v>
      </c>
      <c r="DI22" s="415" t="str">
        <f t="shared" si="24"/>
        <v>-</v>
      </c>
      <c r="DJ22" s="415" t="str">
        <f t="shared" si="25"/>
        <v>-</v>
      </c>
      <c r="DK22" s="415" t="str">
        <f t="shared" si="26"/>
        <v>-</v>
      </c>
      <c r="DL22" s="415" t="str">
        <f t="shared" si="27"/>
        <v>-</v>
      </c>
      <c r="DM22" s="415">
        <f t="shared" si="28"/>
        <v>11</v>
      </c>
      <c r="DN22" s="415">
        <f t="shared" si="29"/>
        <v>12</v>
      </c>
      <c r="DO22" s="415">
        <f t="shared" si="30"/>
        <v>14</v>
      </c>
      <c r="DP22" s="415">
        <f t="shared" si="31"/>
        <v>16</v>
      </c>
      <c r="DQ22" s="415">
        <f t="shared" si="32"/>
        <v>16</v>
      </c>
      <c r="DR22" s="415">
        <f t="shared" si="33"/>
        <v>18</v>
      </c>
      <c r="DS22" s="415">
        <f t="shared" si="34"/>
        <v>18</v>
      </c>
      <c r="DT22" s="415">
        <f t="shared" si="35"/>
        <v>18</v>
      </c>
      <c r="DU22" s="415">
        <f t="shared" si="36"/>
        <v>18</v>
      </c>
      <c r="DV22" s="415">
        <f t="shared" si="37"/>
        <v>19</v>
      </c>
      <c r="DW22" s="415">
        <f t="shared" si="38"/>
        <v>20</v>
      </c>
      <c r="DX22" s="415">
        <f t="shared" si="39"/>
        <v>20</v>
      </c>
      <c r="DY22" s="415">
        <f t="shared" si="40"/>
        <v>20</v>
      </c>
      <c r="DZ22" s="415">
        <f t="shared" si="41"/>
        <v>20</v>
      </c>
      <c r="EA22" s="416">
        <f t="shared" si="42"/>
        <v>20</v>
      </c>
    </row>
    <row r="23" spans="1:131" x14ac:dyDescent="0.2">
      <c r="A23" s="119"/>
      <c r="B23" s="157">
        <f t="shared" si="43"/>
        <v>21</v>
      </c>
      <c r="C23" s="158" t="s">
        <v>272</v>
      </c>
      <c r="D23" s="159" t="s">
        <v>190</v>
      </c>
      <c r="E23" s="409">
        <f>IF(ISNA(VLOOKUP($C23,Batting!$B$5:$M$103,3,FALSE)),0,(VLOOKUP($C23,Batting!$B$5:$M$103,3,FALSE)))</f>
        <v>2</v>
      </c>
      <c r="F23" s="403">
        <f>VLOOKUP($C23,Batting!$B$44:$BZ$75,17,0)</f>
        <v>0</v>
      </c>
      <c r="G23" s="404">
        <f>VLOOKUP($C23,Batting!$B$44:$BZ$75,20,0)</f>
        <v>0</v>
      </c>
      <c r="H23" s="404">
        <f>VLOOKUP($C23,Batting!$B$44:$BZ$75,23,0)</f>
        <v>0</v>
      </c>
      <c r="I23" s="404">
        <f>VLOOKUP($C23,Batting!$B$44:$BZ$75,26,0)</f>
        <v>0</v>
      </c>
      <c r="J23" s="404">
        <f>VLOOKUP($C23,Batting!$B$44:$BZ$75,29,0)</f>
        <v>0</v>
      </c>
      <c r="K23" s="404">
        <f>VLOOKUP($C23,Batting!$B$44:$BZ$75,32,0)</f>
        <v>0</v>
      </c>
      <c r="L23" s="404">
        <f>VLOOKUP($C23,Batting!$B$44:$BZ$75,35,0)</f>
        <v>-7</v>
      </c>
      <c r="M23" s="404">
        <f>VLOOKUP($C23,Batting!$B$44:$BZ$75,38,0)</f>
        <v>0</v>
      </c>
      <c r="N23" s="404">
        <f>VLOOKUP($C23,Batting!$B$44:$BZ$75,41,0)</f>
        <v>0</v>
      </c>
      <c r="O23" s="404">
        <f>VLOOKUP($C23,Batting!$B$44:$BZ$75,44,0)</f>
        <v>0</v>
      </c>
      <c r="P23" s="404">
        <f>VLOOKUP($C23,Batting!$B$44:$BZ$75,47,0)</f>
        <v>1</v>
      </c>
      <c r="Q23" s="404">
        <f>VLOOKUP($C23,Batting!$B$44:$BZ$75,50,0)</f>
        <v>0</v>
      </c>
      <c r="R23" s="404">
        <f>VLOOKUP($C23,Batting!$B$44:$BZ$75,53,0)</f>
        <v>0</v>
      </c>
      <c r="S23" s="404">
        <f>VLOOKUP($C23,Batting!$B$44:$BZ$75,56,0)</f>
        <v>0</v>
      </c>
      <c r="T23" s="404">
        <f>VLOOKUP($C23,Batting!$B$44:$BZ$75,59,0)</f>
        <v>0</v>
      </c>
      <c r="U23" s="404">
        <f>VLOOKUP($C23,Batting!$B$44:$BZ$75,62,0)</f>
        <v>0</v>
      </c>
      <c r="V23" s="404">
        <f>VLOOKUP($C23,Batting!$B$44:$BZ$75,65,0)</f>
        <v>0</v>
      </c>
      <c r="W23" s="404">
        <f>VLOOKUP($C23,Batting!$B$44:$BZ$75,68,0)</f>
        <v>0</v>
      </c>
      <c r="X23" s="404">
        <f>VLOOKUP($C23,Batting!$B$44:$BZ$75,71,0)</f>
        <v>0</v>
      </c>
      <c r="Y23" s="404">
        <f>VLOOKUP($C23,Batting!$B$44:$BZ$75,74,0)</f>
        <v>0</v>
      </c>
      <c r="Z23" s="405">
        <f>VLOOKUP($C23,Batting!$B$44:$BZ$75,77,0)</f>
        <v>0</v>
      </c>
      <c r="AA23" s="403">
        <f>_xlfn.IFNA(VLOOKUP($C23,Bowling!$B$39:$DX$66,24,0),0)</f>
        <v>0</v>
      </c>
      <c r="AB23" s="404">
        <f>_xlfn.IFNA(VLOOKUP($C23,Bowling!$B$39:$DX$66,29,0),0)</f>
        <v>0</v>
      </c>
      <c r="AC23" s="404">
        <f>_xlfn.IFNA(VLOOKUP($C23,Bowling!$B$39:$DX$66,34,0),0)</f>
        <v>0</v>
      </c>
      <c r="AD23" s="404">
        <f>_xlfn.IFNA(VLOOKUP($C23,Bowling!$B$39:$DX$66,39,0),0)</f>
        <v>0</v>
      </c>
      <c r="AE23" s="404">
        <f>_xlfn.IFNA(VLOOKUP($C23,Bowling!$B$39:$DX$66,44,0),0)</f>
        <v>0</v>
      </c>
      <c r="AF23" s="404">
        <f>_xlfn.IFNA(VLOOKUP($C23,Bowling!$B$39:$DX$66,49,0),0)</f>
        <v>0</v>
      </c>
      <c r="AG23" s="404">
        <f>_xlfn.IFNA(VLOOKUP($C23,Bowling!$B$39:$DX$66,54,0),0)</f>
        <v>20</v>
      </c>
      <c r="AH23" s="404">
        <f>_xlfn.IFNA(VLOOKUP($C23,Bowling!$B$39:$DX$66,59,0),0)</f>
        <v>0</v>
      </c>
      <c r="AI23" s="404">
        <f>_xlfn.IFNA(VLOOKUP($C23,Bowling!$B$39:$DX$66,64,0),0)</f>
        <v>0</v>
      </c>
      <c r="AJ23" s="404">
        <f>_xlfn.IFNA(VLOOKUP($C23,Bowling!$B$39:$DX$66,69,0),0)</f>
        <v>0</v>
      </c>
      <c r="AK23" s="404">
        <f>_xlfn.IFNA(VLOOKUP($C23,Bowling!$B$39:$DX$66,74,0),0)</f>
        <v>0</v>
      </c>
      <c r="AL23" s="404">
        <f>_xlfn.IFNA(VLOOKUP($C23,Bowling!$B$39:$DX$66,79,0),0)</f>
        <v>0</v>
      </c>
      <c r="AM23" s="404">
        <f>_xlfn.IFNA(VLOOKUP($C23,Bowling!$B$39:$DX$66,84,0),0)</f>
        <v>0</v>
      </c>
      <c r="AN23" s="404">
        <f>_xlfn.IFNA(VLOOKUP($C23,Bowling!$B$39:$DX$66,89,0),0)</f>
        <v>0</v>
      </c>
      <c r="AO23" s="404">
        <f>_xlfn.IFNA(VLOOKUP($C23,Bowling!$B$39:$DX$66,94,0),0)</f>
        <v>0</v>
      </c>
      <c r="AP23" s="404">
        <f>_xlfn.IFNA(VLOOKUP($C23,Bowling!$B$39:$DX$66,99,0),0)</f>
        <v>0</v>
      </c>
      <c r="AQ23" s="404">
        <f>_xlfn.IFNA(VLOOKUP($C23,Bowling!$B$39:$DX$66,104,0),0)</f>
        <v>0</v>
      </c>
      <c r="AR23" s="404">
        <f>_xlfn.IFNA(VLOOKUP($C23,Bowling!$B$39:$DX$66,109,0),0)</f>
        <v>0</v>
      </c>
      <c r="AS23" s="404">
        <f>_xlfn.IFNA(VLOOKUP($C23,Bowling!$B$39:$DX$66,114,0),0)</f>
        <v>0</v>
      </c>
      <c r="AT23" s="404">
        <f>_xlfn.IFNA(VLOOKUP($C23,Bowling!$B$39:$DX$66,119,0),0)</f>
        <v>0</v>
      </c>
      <c r="AU23" s="405">
        <f>_xlfn.IFNA(VLOOKUP($C23,Bowling!$B$39:$DX$66,124,0),0)</f>
        <v>0</v>
      </c>
      <c r="AV23" s="403">
        <f>_xlfn.IFNA(VLOOKUP($C23,Fielding!$B$23:$CN$36,8,0),0)</f>
        <v>0</v>
      </c>
      <c r="AW23" s="404">
        <f>_xlfn.IFNA(VLOOKUP($C23,Fielding!$B$23:$CN$36,12,0),0)</f>
        <v>0</v>
      </c>
      <c r="AX23" s="404">
        <f>_xlfn.IFNA(VLOOKUP($C23,Fielding!$B$23:$CN$36,16,0),0)</f>
        <v>0</v>
      </c>
      <c r="AY23" s="404">
        <f>_xlfn.IFNA(VLOOKUP($C23,Fielding!$B$23:$CN$36,20,0),0)</f>
        <v>0</v>
      </c>
      <c r="AZ23" s="404">
        <f>_xlfn.IFNA(VLOOKUP($C23,Fielding!$B$23:$CN$36,24,0),0)</f>
        <v>0</v>
      </c>
      <c r="BA23" s="404">
        <f>_xlfn.IFNA(VLOOKUP($C23,Fielding!$B$23:$CN$36,28,0),0)</f>
        <v>0</v>
      </c>
      <c r="BB23" s="404">
        <f>_xlfn.IFNA(VLOOKUP($C23,Fielding!$B$23:$CN$36,32,0),0)</f>
        <v>0</v>
      </c>
      <c r="BC23" s="404">
        <f>_xlfn.IFNA(VLOOKUP($C23,Fielding!$B$23:$CN$36,36,0),0)</f>
        <v>0</v>
      </c>
      <c r="BD23" s="404">
        <f>_xlfn.IFNA(VLOOKUP($C23,Fielding!$B$23:$CN$36,40,0),0)</f>
        <v>0</v>
      </c>
      <c r="BE23" s="404">
        <f>_xlfn.IFNA(VLOOKUP($C23,Fielding!$B$23:$CN$36,44,0),0)</f>
        <v>0</v>
      </c>
      <c r="BF23" s="404">
        <f>_xlfn.IFNA(VLOOKUP($C23,Fielding!$B$23:$CN$36,48,0),0)</f>
        <v>0</v>
      </c>
      <c r="BG23" s="404">
        <f>_xlfn.IFNA(VLOOKUP($C23,Fielding!$B$23:$CN$36,52,0),0)</f>
        <v>0</v>
      </c>
      <c r="BH23" s="404">
        <f>_xlfn.IFNA(VLOOKUP($C23,Fielding!$B$23:$CN$36,56,0),0)</f>
        <v>0</v>
      </c>
      <c r="BI23" s="404">
        <f>_xlfn.IFNA(VLOOKUP($C23,Fielding!$B$23:$CN$36,60,0),0)</f>
        <v>0</v>
      </c>
      <c r="BJ23" s="404">
        <f>_xlfn.IFNA(VLOOKUP($C23,Fielding!$B$23:$CN$36,64,0),0)</f>
        <v>0</v>
      </c>
      <c r="BK23" s="404">
        <f>_xlfn.IFNA(VLOOKUP($C23,Fielding!$B$23:$CN$36,68,0),0)</f>
        <v>0</v>
      </c>
      <c r="BL23" s="404">
        <f>_xlfn.IFNA(VLOOKUP($C23,Fielding!$B$23:$CN$36,72,0),0)</f>
        <v>0</v>
      </c>
      <c r="BM23" s="404">
        <f>_xlfn.IFNA(VLOOKUP($C23,Fielding!$B$23:$CN$36,76,0),0)</f>
        <v>0</v>
      </c>
      <c r="BN23" s="404">
        <f>_xlfn.IFNA(VLOOKUP($C23,Fielding!$B$23:$CN$36,80,0),0)</f>
        <v>0</v>
      </c>
      <c r="BO23" s="404">
        <f>_xlfn.IFNA(VLOOKUP($C23,Fielding!$B$23:$CN$36,84,0),0)</f>
        <v>0</v>
      </c>
      <c r="BP23" s="405">
        <f>_xlfn.IFNA(VLOOKUP($C23,Fielding!$B$23:$CN$36,88,0),0)</f>
        <v>0</v>
      </c>
      <c r="BQ23" s="403">
        <f t="shared" si="0"/>
        <v>0</v>
      </c>
      <c r="BR23" s="404">
        <f t="shared" si="1"/>
        <v>0</v>
      </c>
      <c r="BS23" s="404">
        <f t="shared" si="2"/>
        <v>0</v>
      </c>
      <c r="BT23" s="404">
        <f t="shared" si="3"/>
        <v>0</v>
      </c>
      <c r="BU23" s="404">
        <f t="shared" si="4"/>
        <v>0</v>
      </c>
      <c r="BV23" s="404">
        <f t="shared" si="5"/>
        <v>0</v>
      </c>
      <c r="BW23" s="404">
        <f t="shared" si="6"/>
        <v>13</v>
      </c>
      <c r="BX23" s="404">
        <f t="shared" si="7"/>
        <v>0</v>
      </c>
      <c r="BY23" s="404">
        <f t="shared" si="8"/>
        <v>0</v>
      </c>
      <c r="BZ23" s="404">
        <f t="shared" si="9"/>
        <v>0</v>
      </c>
      <c r="CA23" s="404">
        <f t="shared" si="10"/>
        <v>1</v>
      </c>
      <c r="CB23" s="404">
        <f t="shared" si="11"/>
        <v>0</v>
      </c>
      <c r="CC23" s="404">
        <f t="shared" si="12"/>
        <v>0</v>
      </c>
      <c r="CD23" s="404">
        <f t="shared" si="13"/>
        <v>0</v>
      </c>
      <c r="CE23" s="404">
        <f t="shared" si="14"/>
        <v>0</v>
      </c>
      <c r="CF23" s="404">
        <f t="shared" si="15"/>
        <v>0</v>
      </c>
      <c r="CG23" s="404">
        <f t="shared" si="16"/>
        <v>0</v>
      </c>
      <c r="CH23" s="404">
        <f t="shared" si="17"/>
        <v>0</v>
      </c>
      <c r="CI23" s="404">
        <f t="shared" si="18"/>
        <v>0</v>
      </c>
      <c r="CJ23" s="404">
        <f t="shared" si="19"/>
        <v>0</v>
      </c>
      <c r="CK23" s="405">
        <f t="shared" si="20"/>
        <v>0</v>
      </c>
      <c r="CL23" s="403">
        <f t="shared" si="44"/>
        <v>0</v>
      </c>
      <c r="CM23" s="404">
        <f t="shared" si="45"/>
        <v>0</v>
      </c>
      <c r="CN23" s="404">
        <f t="shared" si="46"/>
        <v>0</v>
      </c>
      <c r="CO23" s="404">
        <f t="shared" si="47"/>
        <v>0</v>
      </c>
      <c r="CP23" s="404">
        <f t="shared" si="48"/>
        <v>0</v>
      </c>
      <c r="CQ23" s="404">
        <f t="shared" si="49"/>
        <v>0</v>
      </c>
      <c r="CR23" s="404">
        <f t="shared" si="50"/>
        <v>13</v>
      </c>
      <c r="CS23" s="404">
        <f t="shared" si="51"/>
        <v>13</v>
      </c>
      <c r="CT23" s="404">
        <f t="shared" si="52"/>
        <v>13</v>
      </c>
      <c r="CU23" s="404">
        <f t="shared" si="53"/>
        <v>13</v>
      </c>
      <c r="CV23" s="404">
        <f t="shared" si="54"/>
        <v>14</v>
      </c>
      <c r="CW23" s="404">
        <f t="shared" si="55"/>
        <v>14</v>
      </c>
      <c r="CX23" s="404">
        <f t="shared" si="56"/>
        <v>14</v>
      </c>
      <c r="CY23" s="404">
        <f t="shared" si="57"/>
        <v>14</v>
      </c>
      <c r="CZ23" s="404">
        <f t="shared" si="58"/>
        <v>14</v>
      </c>
      <c r="DA23" s="404">
        <f t="shared" si="59"/>
        <v>14</v>
      </c>
      <c r="DB23" s="404">
        <f t="shared" si="60"/>
        <v>14</v>
      </c>
      <c r="DC23" s="404">
        <f t="shared" si="61"/>
        <v>14</v>
      </c>
      <c r="DD23" s="404">
        <f t="shared" si="62"/>
        <v>14</v>
      </c>
      <c r="DE23" s="404">
        <f t="shared" si="63"/>
        <v>14</v>
      </c>
      <c r="DF23" s="405">
        <f t="shared" si="64"/>
        <v>14</v>
      </c>
      <c r="DG23" s="414" t="str">
        <f t="shared" si="22"/>
        <v>-</v>
      </c>
      <c r="DH23" s="415" t="str">
        <f t="shared" si="23"/>
        <v>-</v>
      </c>
      <c r="DI23" s="415" t="str">
        <f t="shared" si="24"/>
        <v>-</v>
      </c>
      <c r="DJ23" s="415" t="str">
        <f t="shared" si="25"/>
        <v>-</v>
      </c>
      <c r="DK23" s="415" t="str">
        <f t="shared" si="26"/>
        <v>-</v>
      </c>
      <c r="DL23" s="415" t="str">
        <f t="shared" si="27"/>
        <v>-</v>
      </c>
      <c r="DM23" s="415">
        <f t="shared" si="28"/>
        <v>12</v>
      </c>
      <c r="DN23" s="415">
        <f t="shared" si="29"/>
        <v>13</v>
      </c>
      <c r="DO23" s="415">
        <f t="shared" si="30"/>
        <v>15</v>
      </c>
      <c r="DP23" s="415">
        <f t="shared" si="31"/>
        <v>17</v>
      </c>
      <c r="DQ23" s="415">
        <f t="shared" si="32"/>
        <v>17</v>
      </c>
      <c r="DR23" s="415">
        <f t="shared" si="33"/>
        <v>19</v>
      </c>
      <c r="DS23" s="415">
        <f t="shared" si="34"/>
        <v>19</v>
      </c>
      <c r="DT23" s="415">
        <f t="shared" si="35"/>
        <v>19</v>
      </c>
      <c r="DU23" s="415">
        <f t="shared" si="36"/>
        <v>19</v>
      </c>
      <c r="DV23" s="415">
        <f t="shared" si="37"/>
        <v>20</v>
      </c>
      <c r="DW23" s="415">
        <f t="shared" si="38"/>
        <v>21</v>
      </c>
      <c r="DX23" s="415">
        <f t="shared" si="39"/>
        <v>21</v>
      </c>
      <c r="DY23" s="415">
        <f t="shared" si="40"/>
        <v>21</v>
      </c>
      <c r="DZ23" s="415">
        <f t="shared" si="41"/>
        <v>21</v>
      </c>
      <c r="EA23" s="416">
        <f t="shared" si="42"/>
        <v>21</v>
      </c>
    </row>
    <row r="24" spans="1:131" x14ac:dyDescent="0.2">
      <c r="A24" s="119"/>
      <c r="B24" s="157">
        <f t="shared" si="43"/>
        <v>22</v>
      </c>
      <c r="C24" s="158" t="s">
        <v>286</v>
      </c>
      <c r="D24" s="159" t="s">
        <v>285</v>
      </c>
      <c r="E24" s="409">
        <f>IF(ISNA(VLOOKUP($C24,Batting!$B$5:$M$103,3,FALSE)),0,(VLOOKUP($C24,Batting!$B$5:$M$103,3,FALSE)))</f>
        <v>1</v>
      </c>
      <c r="F24" s="403">
        <f>VLOOKUP($C24,Batting!$B$44:$BZ$75,17,0)</f>
        <v>0</v>
      </c>
      <c r="G24" s="404">
        <f>VLOOKUP($C24,Batting!$B$44:$BZ$75,20,0)</f>
        <v>0</v>
      </c>
      <c r="H24" s="404">
        <f>VLOOKUP($C24,Batting!$B$44:$BZ$75,23,0)</f>
        <v>0</v>
      </c>
      <c r="I24" s="404">
        <f>VLOOKUP($C24,Batting!$B$44:$BZ$75,26,0)</f>
        <v>0</v>
      </c>
      <c r="J24" s="404">
        <f>VLOOKUP($C24,Batting!$B$44:$BZ$75,29,0)</f>
        <v>0</v>
      </c>
      <c r="K24" s="404">
        <f>VLOOKUP($C24,Batting!$B$44:$BZ$75,32,0)</f>
        <v>0</v>
      </c>
      <c r="L24" s="404">
        <f>VLOOKUP($C24,Batting!$B$44:$BZ$75,35,0)</f>
        <v>0</v>
      </c>
      <c r="M24" s="404">
        <f>VLOOKUP($C24,Batting!$B$44:$BZ$75,38,0)</f>
        <v>0</v>
      </c>
      <c r="N24" s="404">
        <f>VLOOKUP($C24,Batting!$B$44:$BZ$75,41,0)</f>
        <v>0</v>
      </c>
      <c r="O24" s="404">
        <f>VLOOKUP($C24,Batting!$B$44:$BZ$75,44,0)</f>
        <v>0</v>
      </c>
      <c r="P24" s="404">
        <f>VLOOKUP($C24,Batting!$B$44:$BZ$75,47,0)</f>
        <v>0</v>
      </c>
      <c r="Q24" s="404">
        <f>VLOOKUP($C24,Batting!$B$44:$BZ$75,50,0)</f>
        <v>0</v>
      </c>
      <c r="R24" s="404">
        <f>VLOOKUP($C24,Batting!$B$44:$BZ$75,53,0)</f>
        <v>0</v>
      </c>
      <c r="S24" s="404">
        <f>VLOOKUP($C24,Batting!$B$44:$BZ$75,56,0)</f>
        <v>0</v>
      </c>
      <c r="T24" s="404">
        <f>VLOOKUP($C24,Batting!$B$44:$BZ$75,59,0)</f>
        <v>0</v>
      </c>
      <c r="U24" s="404">
        <f>VLOOKUP($C24,Batting!$B$44:$BZ$75,62,0)</f>
        <v>0</v>
      </c>
      <c r="V24" s="404">
        <f>VLOOKUP($C24,Batting!$B$44:$BZ$75,65,0)</f>
        <v>0</v>
      </c>
      <c r="W24" s="404">
        <f>VLOOKUP($C24,Batting!$B$44:$BZ$75,68,0)</f>
        <v>0</v>
      </c>
      <c r="X24" s="404">
        <f>VLOOKUP($C24,Batting!$B$44:$BZ$75,71,0)</f>
        <v>0</v>
      </c>
      <c r="Y24" s="404">
        <f>VLOOKUP($C24,Batting!$B$44:$BZ$75,74,0)</f>
        <v>0</v>
      </c>
      <c r="Z24" s="405">
        <f>VLOOKUP($C24,Batting!$B$44:$BZ$75,77,0)</f>
        <v>0</v>
      </c>
      <c r="AA24" s="403">
        <f>_xlfn.IFNA(VLOOKUP($C24,Bowling!$B$39:$DX$66,24,0),0)</f>
        <v>0</v>
      </c>
      <c r="AB24" s="404">
        <f>_xlfn.IFNA(VLOOKUP($C24,Bowling!$B$39:$DX$66,29,0),0)</f>
        <v>0</v>
      </c>
      <c r="AC24" s="404">
        <f>_xlfn.IFNA(VLOOKUP($C24,Bowling!$B$39:$DX$66,34,0),0)</f>
        <v>0</v>
      </c>
      <c r="AD24" s="404">
        <f>_xlfn.IFNA(VLOOKUP($C24,Bowling!$B$39:$DX$66,39,0),0)</f>
        <v>0</v>
      </c>
      <c r="AE24" s="404">
        <f>_xlfn.IFNA(VLOOKUP($C24,Bowling!$B$39:$DX$66,44,0),0)</f>
        <v>0</v>
      </c>
      <c r="AF24" s="404">
        <f>_xlfn.IFNA(VLOOKUP($C24,Bowling!$B$39:$DX$66,49,0),0)</f>
        <v>0</v>
      </c>
      <c r="AG24" s="404">
        <f>_xlfn.IFNA(VLOOKUP($C24,Bowling!$B$39:$DX$66,54,0),0)</f>
        <v>0</v>
      </c>
      <c r="AH24" s="404">
        <f>_xlfn.IFNA(VLOOKUP($C24,Bowling!$B$39:$DX$66,59,0),0)</f>
        <v>0</v>
      </c>
      <c r="AI24" s="404">
        <f>_xlfn.IFNA(VLOOKUP($C24,Bowling!$B$39:$DX$66,64,0),0)</f>
        <v>0</v>
      </c>
      <c r="AJ24" s="404">
        <f>_xlfn.IFNA(VLOOKUP($C24,Bowling!$B$39:$DX$66,69,0),0)</f>
        <v>0</v>
      </c>
      <c r="AK24" s="404">
        <f>_xlfn.IFNA(VLOOKUP($C24,Bowling!$B$39:$DX$66,74,0),0)</f>
        <v>0</v>
      </c>
      <c r="AL24" s="404">
        <f>_xlfn.IFNA(VLOOKUP($C24,Bowling!$B$39:$DX$66,79,0),0)</f>
        <v>0</v>
      </c>
      <c r="AM24" s="404">
        <f>_xlfn.IFNA(VLOOKUP($C24,Bowling!$B$39:$DX$66,84,0),0)</f>
        <v>0</v>
      </c>
      <c r="AN24" s="404">
        <f>_xlfn.IFNA(VLOOKUP($C24,Bowling!$B$39:$DX$66,89,0),0)</f>
        <v>0</v>
      </c>
      <c r="AO24" s="404">
        <f>_xlfn.IFNA(VLOOKUP($C24,Bowling!$B$39:$DX$66,94,0),0)</f>
        <v>0</v>
      </c>
      <c r="AP24" s="404">
        <f>_xlfn.IFNA(VLOOKUP($C24,Bowling!$B$39:$DX$66,99,0),0)</f>
        <v>12</v>
      </c>
      <c r="AQ24" s="404">
        <f>_xlfn.IFNA(VLOOKUP($C24,Bowling!$B$39:$DX$66,104,0),0)</f>
        <v>0</v>
      </c>
      <c r="AR24" s="404">
        <f>_xlfn.IFNA(VLOOKUP($C24,Bowling!$B$39:$DX$66,109,0),0)</f>
        <v>0</v>
      </c>
      <c r="AS24" s="404">
        <f>_xlfn.IFNA(VLOOKUP($C24,Bowling!$B$39:$DX$66,114,0),0)</f>
        <v>0</v>
      </c>
      <c r="AT24" s="404">
        <f>_xlfn.IFNA(VLOOKUP($C24,Bowling!$B$39:$DX$66,119,0),0)</f>
        <v>0</v>
      </c>
      <c r="AU24" s="405">
        <f>_xlfn.IFNA(VLOOKUP($C24,Bowling!$B$39:$DX$66,124,0),0)</f>
        <v>0</v>
      </c>
      <c r="AV24" s="403">
        <f>_xlfn.IFNA(VLOOKUP($C24,Fielding!$B$23:$CN$36,8,0),0)</f>
        <v>0</v>
      </c>
      <c r="AW24" s="404">
        <f>_xlfn.IFNA(VLOOKUP($C24,Fielding!$B$23:$CN$36,12,0),0)</f>
        <v>0</v>
      </c>
      <c r="AX24" s="404">
        <f>_xlfn.IFNA(VLOOKUP($C24,Fielding!$B$23:$CN$36,16,0),0)</f>
        <v>0</v>
      </c>
      <c r="AY24" s="404">
        <f>_xlfn.IFNA(VLOOKUP($C24,Fielding!$B$23:$CN$36,20,0),0)</f>
        <v>0</v>
      </c>
      <c r="AZ24" s="404">
        <f>_xlfn.IFNA(VLOOKUP($C24,Fielding!$B$23:$CN$36,24,0),0)</f>
        <v>0</v>
      </c>
      <c r="BA24" s="404">
        <f>_xlfn.IFNA(VLOOKUP($C24,Fielding!$B$23:$CN$36,28,0),0)</f>
        <v>0</v>
      </c>
      <c r="BB24" s="404">
        <f>_xlfn.IFNA(VLOOKUP($C24,Fielding!$B$23:$CN$36,32,0),0)</f>
        <v>0</v>
      </c>
      <c r="BC24" s="404">
        <f>_xlfn.IFNA(VLOOKUP($C24,Fielding!$B$23:$CN$36,36,0),0)</f>
        <v>0</v>
      </c>
      <c r="BD24" s="404">
        <f>_xlfn.IFNA(VLOOKUP($C24,Fielding!$B$23:$CN$36,40,0),0)</f>
        <v>0</v>
      </c>
      <c r="BE24" s="404">
        <f>_xlfn.IFNA(VLOOKUP($C24,Fielding!$B$23:$CN$36,44,0),0)</f>
        <v>0</v>
      </c>
      <c r="BF24" s="404">
        <f>_xlfn.IFNA(VLOOKUP($C24,Fielding!$B$23:$CN$36,48,0),0)</f>
        <v>0</v>
      </c>
      <c r="BG24" s="404">
        <f>_xlfn.IFNA(VLOOKUP($C24,Fielding!$B$23:$CN$36,52,0),0)</f>
        <v>0</v>
      </c>
      <c r="BH24" s="404">
        <f>_xlfn.IFNA(VLOOKUP($C24,Fielding!$B$23:$CN$36,56,0),0)</f>
        <v>0</v>
      </c>
      <c r="BI24" s="404">
        <f>_xlfn.IFNA(VLOOKUP($C24,Fielding!$B$23:$CN$36,60,0),0)</f>
        <v>0</v>
      </c>
      <c r="BJ24" s="404">
        <f>_xlfn.IFNA(VLOOKUP($C24,Fielding!$B$23:$CN$36,64,0),0)</f>
        <v>0</v>
      </c>
      <c r="BK24" s="404">
        <f>_xlfn.IFNA(VLOOKUP($C24,Fielding!$B$23:$CN$36,68,0),0)</f>
        <v>0</v>
      </c>
      <c r="BL24" s="404">
        <f>_xlfn.IFNA(VLOOKUP($C24,Fielding!$B$23:$CN$36,72,0),0)</f>
        <v>0</v>
      </c>
      <c r="BM24" s="404">
        <f>_xlfn.IFNA(VLOOKUP($C24,Fielding!$B$23:$CN$36,76,0),0)</f>
        <v>0</v>
      </c>
      <c r="BN24" s="404">
        <f>_xlfn.IFNA(VLOOKUP($C24,Fielding!$B$23:$CN$36,80,0),0)</f>
        <v>0</v>
      </c>
      <c r="BO24" s="404">
        <f>_xlfn.IFNA(VLOOKUP($C24,Fielding!$B$23:$CN$36,84,0),0)</f>
        <v>0</v>
      </c>
      <c r="BP24" s="405">
        <f>_xlfn.IFNA(VLOOKUP($C24,Fielding!$B$23:$CN$36,88,0),0)</f>
        <v>0</v>
      </c>
      <c r="BQ24" s="403">
        <f t="shared" si="0"/>
        <v>0</v>
      </c>
      <c r="BR24" s="404">
        <f t="shared" si="1"/>
        <v>0</v>
      </c>
      <c r="BS24" s="404">
        <f t="shared" si="2"/>
        <v>0</v>
      </c>
      <c r="BT24" s="404">
        <f t="shared" si="3"/>
        <v>0</v>
      </c>
      <c r="BU24" s="404">
        <f t="shared" si="4"/>
        <v>0</v>
      </c>
      <c r="BV24" s="404">
        <f t="shared" si="5"/>
        <v>0</v>
      </c>
      <c r="BW24" s="404">
        <f t="shared" si="6"/>
        <v>0</v>
      </c>
      <c r="BX24" s="404">
        <f t="shared" si="7"/>
        <v>0</v>
      </c>
      <c r="BY24" s="404">
        <f t="shared" si="8"/>
        <v>0</v>
      </c>
      <c r="BZ24" s="404">
        <f t="shared" si="9"/>
        <v>0</v>
      </c>
      <c r="CA24" s="404">
        <f t="shared" si="10"/>
        <v>0</v>
      </c>
      <c r="CB24" s="404">
        <f t="shared" si="11"/>
        <v>0</v>
      </c>
      <c r="CC24" s="404">
        <f t="shared" si="12"/>
        <v>0</v>
      </c>
      <c r="CD24" s="404">
        <f t="shared" si="13"/>
        <v>0</v>
      </c>
      <c r="CE24" s="404">
        <f t="shared" si="14"/>
        <v>0</v>
      </c>
      <c r="CF24" s="404">
        <f t="shared" si="15"/>
        <v>12</v>
      </c>
      <c r="CG24" s="404">
        <f t="shared" si="16"/>
        <v>0</v>
      </c>
      <c r="CH24" s="404">
        <f t="shared" si="17"/>
        <v>0</v>
      </c>
      <c r="CI24" s="404">
        <f t="shared" si="18"/>
        <v>0</v>
      </c>
      <c r="CJ24" s="404">
        <f t="shared" si="19"/>
        <v>0</v>
      </c>
      <c r="CK24" s="405">
        <f t="shared" si="20"/>
        <v>0</v>
      </c>
      <c r="CL24" s="403">
        <f t="shared" si="44"/>
        <v>0</v>
      </c>
      <c r="CM24" s="404">
        <f t="shared" si="45"/>
        <v>0</v>
      </c>
      <c r="CN24" s="404">
        <f t="shared" si="46"/>
        <v>0</v>
      </c>
      <c r="CO24" s="404">
        <f t="shared" si="47"/>
        <v>0</v>
      </c>
      <c r="CP24" s="404">
        <f t="shared" si="48"/>
        <v>0</v>
      </c>
      <c r="CQ24" s="404">
        <f t="shared" si="49"/>
        <v>0</v>
      </c>
      <c r="CR24" s="404">
        <f t="shared" si="50"/>
        <v>0</v>
      </c>
      <c r="CS24" s="404">
        <f t="shared" si="51"/>
        <v>0</v>
      </c>
      <c r="CT24" s="404">
        <f t="shared" si="52"/>
        <v>0</v>
      </c>
      <c r="CU24" s="404">
        <f t="shared" si="53"/>
        <v>0</v>
      </c>
      <c r="CV24" s="404">
        <f t="shared" si="54"/>
        <v>0</v>
      </c>
      <c r="CW24" s="404">
        <f t="shared" si="55"/>
        <v>0</v>
      </c>
      <c r="CX24" s="404">
        <f t="shared" si="56"/>
        <v>0</v>
      </c>
      <c r="CY24" s="404">
        <f t="shared" si="57"/>
        <v>0</v>
      </c>
      <c r="CZ24" s="404">
        <f t="shared" si="58"/>
        <v>0</v>
      </c>
      <c r="DA24" s="404">
        <f t="shared" si="59"/>
        <v>12</v>
      </c>
      <c r="DB24" s="404">
        <f t="shared" si="60"/>
        <v>12</v>
      </c>
      <c r="DC24" s="404">
        <f t="shared" si="61"/>
        <v>12</v>
      </c>
      <c r="DD24" s="404">
        <f t="shared" si="62"/>
        <v>12</v>
      </c>
      <c r="DE24" s="404">
        <f t="shared" si="63"/>
        <v>12</v>
      </c>
      <c r="DF24" s="405">
        <f t="shared" si="64"/>
        <v>12</v>
      </c>
      <c r="DG24" s="414" t="str">
        <f t="shared" si="22"/>
        <v>-</v>
      </c>
      <c r="DH24" s="415" t="str">
        <f t="shared" si="23"/>
        <v>-</v>
      </c>
      <c r="DI24" s="415" t="str">
        <f t="shared" si="24"/>
        <v>-</v>
      </c>
      <c r="DJ24" s="415" t="str">
        <f t="shared" si="25"/>
        <v>-</v>
      </c>
      <c r="DK24" s="415" t="str">
        <f t="shared" si="26"/>
        <v>-</v>
      </c>
      <c r="DL24" s="415" t="str">
        <f t="shared" si="27"/>
        <v>-</v>
      </c>
      <c r="DM24" s="415" t="str">
        <f t="shared" si="28"/>
        <v>-</v>
      </c>
      <c r="DN24" s="415" t="str">
        <f t="shared" si="29"/>
        <v>-</v>
      </c>
      <c r="DO24" s="415" t="str">
        <f t="shared" si="30"/>
        <v>-</v>
      </c>
      <c r="DP24" s="415" t="str">
        <f t="shared" si="31"/>
        <v>-</v>
      </c>
      <c r="DQ24" s="415" t="str">
        <f t="shared" si="32"/>
        <v>-</v>
      </c>
      <c r="DR24" s="415" t="str">
        <f t="shared" si="33"/>
        <v>-</v>
      </c>
      <c r="DS24" s="415" t="str">
        <f t="shared" si="34"/>
        <v>-</v>
      </c>
      <c r="DT24" s="415" t="str">
        <f t="shared" si="35"/>
        <v>-</v>
      </c>
      <c r="DU24" s="415" t="str">
        <f t="shared" si="36"/>
        <v>-</v>
      </c>
      <c r="DV24" s="415">
        <f t="shared" si="37"/>
        <v>21</v>
      </c>
      <c r="DW24" s="415">
        <f t="shared" si="38"/>
        <v>22</v>
      </c>
      <c r="DX24" s="415">
        <f t="shared" si="39"/>
        <v>22</v>
      </c>
      <c r="DY24" s="415">
        <f t="shared" si="40"/>
        <v>22</v>
      </c>
      <c r="DZ24" s="415">
        <f t="shared" si="41"/>
        <v>22</v>
      </c>
      <c r="EA24" s="416">
        <f t="shared" si="42"/>
        <v>22</v>
      </c>
    </row>
    <row r="25" spans="1:131" x14ac:dyDescent="0.2">
      <c r="A25" s="119"/>
      <c r="B25" s="157">
        <f t="shared" si="43"/>
        <v>23</v>
      </c>
      <c r="C25" s="158" t="s">
        <v>279</v>
      </c>
      <c r="D25" s="159" t="s">
        <v>280</v>
      </c>
      <c r="E25" s="409">
        <f>IF(ISNA(VLOOKUP($C25,Batting!$B$5:$M$103,3,FALSE)),0,(VLOOKUP($C25,Batting!$B$5:$M$103,3,FALSE)))</f>
        <v>1</v>
      </c>
      <c r="F25" s="403">
        <f>VLOOKUP($C25,Batting!$B$44:$BZ$75,17,0)</f>
        <v>0</v>
      </c>
      <c r="G25" s="404">
        <f>VLOOKUP($C25,Batting!$B$44:$BZ$75,20,0)</f>
        <v>0</v>
      </c>
      <c r="H25" s="404">
        <f>VLOOKUP($C25,Batting!$B$44:$BZ$75,23,0)</f>
        <v>0</v>
      </c>
      <c r="I25" s="404">
        <f>VLOOKUP($C25,Batting!$B$44:$BZ$75,26,0)</f>
        <v>0</v>
      </c>
      <c r="J25" s="404">
        <f>VLOOKUP($C25,Batting!$B$44:$BZ$75,29,0)</f>
        <v>0</v>
      </c>
      <c r="K25" s="404">
        <f>VLOOKUP($C25,Batting!$B$44:$BZ$75,32,0)</f>
        <v>0</v>
      </c>
      <c r="L25" s="404">
        <f>VLOOKUP($C25,Batting!$B$44:$BZ$75,35,0)</f>
        <v>0</v>
      </c>
      <c r="M25" s="404">
        <f>VLOOKUP($C25,Batting!$B$44:$BZ$75,38,0)</f>
        <v>0</v>
      </c>
      <c r="N25" s="404">
        <f>VLOOKUP($C25,Batting!$B$44:$BZ$75,41,0)</f>
        <v>0</v>
      </c>
      <c r="O25" s="404">
        <f>VLOOKUP($C25,Batting!$B$44:$BZ$75,44,0)</f>
        <v>-7</v>
      </c>
      <c r="P25" s="404">
        <f>VLOOKUP($C25,Batting!$B$44:$BZ$75,47,0)</f>
        <v>0</v>
      </c>
      <c r="Q25" s="404">
        <f>VLOOKUP($C25,Batting!$B$44:$BZ$75,50,0)</f>
        <v>0</v>
      </c>
      <c r="R25" s="404">
        <f>VLOOKUP($C25,Batting!$B$44:$BZ$75,53,0)</f>
        <v>0</v>
      </c>
      <c r="S25" s="404">
        <f>VLOOKUP($C25,Batting!$B$44:$BZ$75,56,0)</f>
        <v>0</v>
      </c>
      <c r="T25" s="404">
        <f>VLOOKUP($C25,Batting!$B$44:$BZ$75,59,0)</f>
        <v>0</v>
      </c>
      <c r="U25" s="404">
        <f>VLOOKUP($C25,Batting!$B$44:$BZ$75,62,0)</f>
        <v>0</v>
      </c>
      <c r="V25" s="404">
        <f>VLOOKUP($C25,Batting!$B$44:$BZ$75,65,0)</f>
        <v>0</v>
      </c>
      <c r="W25" s="404">
        <f>VLOOKUP($C25,Batting!$B$44:$BZ$75,68,0)</f>
        <v>0</v>
      </c>
      <c r="X25" s="404">
        <f>VLOOKUP($C25,Batting!$B$44:$BZ$75,71,0)</f>
        <v>0</v>
      </c>
      <c r="Y25" s="404">
        <f>VLOOKUP($C25,Batting!$B$44:$BZ$75,74,0)</f>
        <v>0</v>
      </c>
      <c r="Z25" s="405">
        <f>VLOOKUP($C25,Batting!$B$44:$BZ$75,77,0)</f>
        <v>0</v>
      </c>
      <c r="AA25" s="403">
        <f>_xlfn.IFNA(VLOOKUP($C25,Bowling!$B$39:$DX$66,24,0),0)</f>
        <v>0</v>
      </c>
      <c r="AB25" s="404">
        <f>_xlfn.IFNA(VLOOKUP($C25,Bowling!$B$39:$DX$66,29,0),0)</f>
        <v>0</v>
      </c>
      <c r="AC25" s="404">
        <f>_xlfn.IFNA(VLOOKUP($C25,Bowling!$B$39:$DX$66,34,0),0)</f>
        <v>0</v>
      </c>
      <c r="AD25" s="404">
        <f>_xlfn.IFNA(VLOOKUP($C25,Bowling!$B$39:$DX$66,39,0),0)</f>
        <v>0</v>
      </c>
      <c r="AE25" s="404">
        <f>_xlfn.IFNA(VLOOKUP($C25,Bowling!$B$39:$DX$66,44,0),0)</f>
        <v>0</v>
      </c>
      <c r="AF25" s="404">
        <f>_xlfn.IFNA(VLOOKUP($C25,Bowling!$B$39:$DX$66,49,0),0)</f>
        <v>0</v>
      </c>
      <c r="AG25" s="404">
        <f>_xlfn.IFNA(VLOOKUP($C25,Bowling!$B$39:$DX$66,54,0),0)</f>
        <v>0</v>
      </c>
      <c r="AH25" s="404">
        <f>_xlfn.IFNA(VLOOKUP($C25,Bowling!$B$39:$DX$66,59,0),0)</f>
        <v>0</v>
      </c>
      <c r="AI25" s="404">
        <f>_xlfn.IFNA(VLOOKUP($C25,Bowling!$B$39:$DX$66,64,0),0)</f>
        <v>0</v>
      </c>
      <c r="AJ25" s="404">
        <f>_xlfn.IFNA(VLOOKUP($C25,Bowling!$B$39:$DX$66,69,0),0)</f>
        <v>18.2</v>
      </c>
      <c r="AK25" s="404">
        <f>_xlfn.IFNA(VLOOKUP($C25,Bowling!$B$39:$DX$66,74,0),0)</f>
        <v>0</v>
      </c>
      <c r="AL25" s="404">
        <f>_xlfn.IFNA(VLOOKUP($C25,Bowling!$B$39:$DX$66,79,0),0)</f>
        <v>0</v>
      </c>
      <c r="AM25" s="404">
        <f>_xlfn.IFNA(VLOOKUP($C25,Bowling!$B$39:$DX$66,84,0),0)</f>
        <v>0</v>
      </c>
      <c r="AN25" s="404">
        <f>_xlfn.IFNA(VLOOKUP($C25,Bowling!$B$39:$DX$66,89,0),0)</f>
        <v>0</v>
      </c>
      <c r="AO25" s="404">
        <f>_xlfn.IFNA(VLOOKUP($C25,Bowling!$B$39:$DX$66,94,0),0)</f>
        <v>0</v>
      </c>
      <c r="AP25" s="404">
        <f>_xlfn.IFNA(VLOOKUP($C25,Bowling!$B$39:$DX$66,99,0),0)</f>
        <v>0</v>
      </c>
      <c r="AQ25" s="404">
        <f>_xlfn.IFNA(VLOOKUP($C25,Bowling!$B$39:$DX$66,104,0),0)</f>
        <v>0</v>
      </c>
      <c r="AR25" s="404">
        <f>_xlfn.IFNA(VLOOKUP($C25,Bowling!$B$39:$DX$66,109,0),0)</f>
        <v>0</v>
      </c>
      <c r="AS25" s="404">
        <f>_xlfn.IFNA(VLOOKUP($C25,Bowling!$B$39:$DX$66,114,0),0)</f>
        <v>0</v>
      </c>
      <c r="AT25" s="404">
        <f>_xlfn.IFNA(VLOOKUP($C25,Bowling!$B$39:$DX$66,119,0),0)</f>
        <v>0</v>
      </c>
      <c r="AU25" s="405">
        <f>_xlfn.IFNA(VLOOKUP($C25,Bowling!$B$39:$DX$66,124,0),0)</f>
        <v>0</v>
      </c>
      <c r="AV25" s="403">
        <f>_xlfn.IFNA(VLOOKUP($C25,Fielding!$B$23:$CN$36,8,0),0)</f>
        <v>0</v>
      </c>
      <c r="AW25" s="404">
        <f>_xlfn.IFNA(VLOOKUP($C25,Fielding!$B$23:$CN$36,12,0),0)</f>
        <v>0</v>
      </c>
      <c r="AX25" s="404">
        <f>_xlfn.IFNA(VLOOKUP($C25,Fielding!$B$23:$CN$36,16,0),0)</f>
        <v>0</v>
      </c>
      <c r="AY25" s="404">
        <f>_xlfn.IFNA(VLOOKUP($C25,Fielding!$B$23:$CN$36,20,0),0)</f>
        <v>0</v>
      </c>
      <c r="AZ25" s="404">
        <f>_xlfn.IFNA(VLOOKUP($C25,Fielding!$B$23:$CN$36,24,0),0)</f>
        <v>0</v>
      </c>
      <c r="BA25" s="404">
        <f>_xlfn.IFNA(VLOOKUP($C25,Fielding!$B$23:$CN$36,28,0),0)</f>
        <v>0</v>
      </c>
      <c r="BB25" s="404">
        <f>_xlfn.IFNA(VLOOKUP($C25,Fielding!$B$23:$CN$36,32,0),0)</f>
        <v>0</v>
      </c>
      <c r="BC25" s="404">
        <f>_xlfn.IFNA(VLOOKUP($C25,Fielding!$B$23:$CN$36,36,0),0)</f>
        <v>0</v>
      </c>
      <c r="BD25" s="404">
        <f>_xlfn.IFNA(VLOOKUP($C25,Fielding!$B$23:$CN$36,40,0),0)</f>
        <v>0</v>
      </c>
      <c r="BE25" s="404">
        <f>_xlfn.IFNA(VLOOKUP($C25,Fielding!$B$23:$CN$36,44,0),0)</f>
        <v>0</v>
      </c>
      <c r="BF25" s="404">
        <f>_xlfn.IFNA(VLOOKUP($C25,Fielding!$B$23:$CN$36,48,0),0)</f>
        <v>0</v>
      </c>
      <c r="BG25" s="404">
        <f>_xlfn.IFNA(VLOOKUP($C25,Fielding!$B$23:$CN$36,52,0),0)</f>
        <v>0</v>
      </c>
      <c r="BH25" s="404">
        <f>_xlfn.IFNA(VLOOKUP($C25,Fielding!$B$23:$CN$36,56,0),0)</f>
        <v>0</v>
      </c>
      <c r="BI25" s="404">
        <f>_xlfn.IFNA(VLOOKUP($C25,Fielding!$B$23:$CN$36,60,0),0)</f>
        <v>0</v>
      </c>
      <c r="BJ25" s="404">
        <f>_xlfn.IFNA(VLOOKUP($C25,Fielding!$B$23:$CN$36,64,0),0)</f>
        <v>0</v>
      </c>
      <c r="BK25" s="404">
        <f>_xlfn.IFNA(VLOOKUP($C25,Fielding!$B$23:$CN$36,68,0),0)</f>
        <v>0</v>
      </c>
      <c r="BL25" s="404">
        <f>_xlfn.IFNA(VLOOKUP($C25,Fielding!$B$23:$CN$36,72,0),0)</f>
        <v>0</v>
      </c>
      <c r="BM25" s="404">
        <f>_xlfn.IFNA(VLOOKUP($C25,Fielding!$B$23:$CN$36,76,0),0)</f>
        <v>0</v>
      </c>
      <c r="BN25" s="404">
        <f>_xlfn.IFNA(VLOOKUP($C25,Fielding!$B$23:$CN$36,80,0),0)</f>
        <v>0</v>
      </c>
      <c r="BO25" s="404">
        <f>_xlfn.IFNA(VLOOKUP($C25,Fielding!$B$23:$CN$36,84,0),0)</f>
        <v>0</v>
      </c>
      <c r="BP25" s="405">
        <f>_xlfn.IFNA(VLOOKUP($C25,Fielding!$B$23:$CN$36,88,0),0)</f>
        <v>0</v>
      </c>
      <c r="BQ25" s="403">
        <f t="shared" si="0"/>
        <v>0</v>
      </c>
      <c r="BR25" s="404">
        <f t="shared" si="1"/>
        <v>0</v>
      </c>
      <c r="BS25" s="404">
        <f t="shared" si="2"/>
        <v>0</v>
      </c>
      <c r="BT25" s="404">
        <f t="shared" si="3"/>
        <v>0</v>
      </c>
      <c r="BU25" s="404">
        <f t="shared" si="4"/>
        <v>0</v>
      </c>
      <c r="BV25" s="404">
        <f t="shared" si="5"/>
        <v>0</v>
      </c>
      <c r="BW25" s="404">
        <f t="shared" si="6"/>
        <v>0</v>
      </c>
      <c r="BX25" s="404">
        <f t="shared" si="7"/>
        <v>0</v>
      </c>
      <c r="BY25" s="404">
        <f t="shared" si="8"/>
        <v>0</v>
      </c>
      <c r="BZ25" s="404">
        <f t="shared" si="9"/>
        <v>11.2</v>
      </c>
      <c r="CA25" s="404">
        <f t="shared" si="10"/>
        <v>0</v>
      </c>
      <c r="CB25" s="404">
        <f t="shared" si="11"/>
        <v>0</v>
      </c>
      <c r="CC25" s="404">
        <f t="shared" si="12"/>
        <v>0</v>
      </c>
      <c r="CD25" s="404">
        <f t="shared" si="13"/>
        <v>0</v>
      </c>
      <c r="CE25" s="404">
        <f t="shared" si="14"/>
        <v>0</v>
      </c>
      <c r="CF25" s="404">
        <f t="shared" si="15"/>
        <v>0</v>
      </c>
      <c r="CG25" s="404">
        <f t="shared" si="16"/>
        <v>0</v>
      </c>
      <c r="CH25" s="404">
        <f t="shared" si="17"/>
        <v>0</v>
      </c>
      <c r="CI25" s="404">
        <f t="shared" si="18"/>
        <v>0</v>
      </c>
      <c r="CJ25" s="404">
        <f t="shared" si="19"/>
        <v>0</v>
      </c>
      <c r="CK25" s="405">
        <f t="shared" si="20"/>
        <v>0</v>
      </c>
      <c r="CL25" s="403">
        <f t="shared" si="44"/>
        <v>0</v>
      </c>
      <c r="CM25" s="404">
        <f t="shared" si="45"/>
        <v>0</v>
      </c>
      <c r="CN25" s="404">
        <f t="shared" si="46"/>
        <v>0</v>
      </c>
      <c r="CO25" s="404">
        <f t="shared" si="47"/>
        <v>0</v>
      </c>
      <c r="CP25" s="404">
        <f t="shared" si="48"/>
        <v>0</v>
      </c>
      <c r="CQ25" s="404">
        <f t="shared" si="49"/>
        <v>0</v>
      </c>
      <c r="CR25" s="404">
        <f t="shared" si="50"/>
        <v>0</v>
      </c>
      <c r="CS25" s="404">
        <f t="shared" si="51"/>
        <v>0</v>
      </c>
      <c r="CT25" s="404">
        <f t="shared" si="52"/>
        <v>0</v>
      </c>
      <c r="CU25" s="404">
        <f t="shared" si="53"/>
        <v>11.2</v>
      </c>
      <c r="CV25" s="404">
        <f t="shared" si="54"/>
        <v>11.2</v>
      </c>
      <c r="CW25" s="404">
        <f t="shared" si="55"/>
        <v>11.2</v>
      </c>
      <c r="CX25" s="404">
        <f t="shared" si="56"/>
        <v>11.2</v>
      </c>
      <c r="CY25" s="404">
        <f t="shared" si="57"/>
        <v>11.2</v>
      </c>
      <c r="CZ25" s="404">
        <f t="shared" si="58"/>
        <v>11.2</v>
      </c>
      <c r="DA25" s="404">
        <f t="shared" si="59"/>
        <v>11.2</v>
      </c>
      <c r="DB25" s="404">
        <f t="shared" si="60"/>
        <v>11.2</v>
      </c>
      <c r="DC25" s="404">
        <f t="shared" si="61"/>
        <v>11.2</v>
      </c>
      <c r="DD25" s="404">
        <f t="shared" si="62"/>
        <v>11.2</v>
      </c>
      <c r="DE25" s="404">
        <f t="shared" si="63"/>
        <v>11.2</v>
      </c>
      <c r="DF25" s="405">
        <f t="shared" si="64"/>
        <v>11.2</v>
      </c>
      <c r="DG25" s="414" t="str">
        <f t="shared" si="22"/>
        <v>-</v>
      </c>
      <c r="DH25" s="415" t="str">
        <f t="shared" si="23"/>
        <v>-</v>
      </c>
      <c r="DI25" s="415" t="str">
        <f t="shared" si="24"/>
        <v>-</v>
      </c>
      <c r="DJ25" s="415" t="str">
        <f t="shared" si="25"/>
        <v>-</v>
      </c>
      <c r="DK25" s="415" t="str">
        <f t="shared" si="26"/>
        <v>-</v>
      </c>
      <c r="DL25" s="415" t="str">
        <f t="shared" si="27"/>
        <v>-</v>
      </c>
      <c r="DM25" s="415" t="str">
        <f t="shared" si="28"/>
        <v>-</v>
      </c>
      <c r="DN25" s="415" t="str">
        <f t="shared" si="29"/>
        <v>-</v>
      </c>
      <c r="DO25" s="415" t="str">
        <f t="shared" si="30"/>
        <v>-</v>
      </c>
      <c r="DP25" s="415">
        <f t="shared" si="31"/>
        <v>19</v>
      </c>
      <c r="DQ25" s="415">
        <f t="shared" si="32"/>
        <v>19</v>
      </c>
      <c r="DR25" s="415">
        <f t="shared" si="33"/>
        <v>21</v>
      </c>
      <c r="DS25" s="415">
        <f t="shared" si="34"/>
        <v>21</v>
      </c>
      <c r="DT25" s="415">
        <f t="shared" si="35"/>
        <v>21</v>
      </c>
      <c r="DU25" s="415">
        <f t="shared" si="36"/>
        <v>21</v>
      </c>
      <c r="DV25" s="415">
        <f t="shared" si="37"/>
        <v>22</v>
      </c>
      <c r="DW25" s="415">
        <f t="shared" si="38"/>
        <v>23</v>
      </c>
      <c r="DX25" s="415">
        <f t="shared" si="39"/>
        <v>23</v>
      </c>
      <c r="DY25" s="415">
        <f t="shared" si="40"/>
        <v>23</v>
      </c>
      <c r="DZ25" s="415">
        <f t="shared" si="41"/>
        <v>23</v>
      </c>
      <c r="EA25" s="416">
        <f t="shared" si="42"/>
        <v>23</v>
      </c>
    </row>
    <row r="26" spans="1:131" x14ac:dyDescent="0.2">
      <c r="A26" s="119"/>
      <c r="B26" s="157">
        <f t="shared" si="43"/>
        <v>24</v>
      </c>
      <c r="C26" s="158" t="s">
        <v>218</v>
      </c>
      <c r="D26" s="159" t="s">
        <v>222</v>
      </c>
      <c r="E26" s="409">
        <f>IF(ISNA(VLOOKUP($C26,Batting!$B$5:$M$103,3,FALSE)),0,(VLOOKUP($C26,Batting!$B$5:$M$103,3,FALSE)))</f>
        <v>1</v>
      </c>
      <c r="F26" s="403">
        <f>VLOOKUP($C26,Batting!$B$44:$BZ$75,17,0)</f>
        <v>0</v>
      </c>
      <c r="G26" s="404">
        <f>VLOOKUP($C26,Batting!$B$44:$BZ$75,20,0)</f>
        <v>0</v>
      </c>
      <c r="H26" s="404">
        <f>VLOOKUP($C26,Batting!$B$44:$BZ$75,23,0)</f>
        <v>0</v>
      </c>
      <c r="I26" s="404">
        <f>VLOOKUP($C26,Batting!$B$44:$BZ$75,26,0)</f>
        <v>0</v>
      </c>
      <c r="J26" s="404">
        <f>VLOOKUP($C26,Batting!$B$44:$BZ$75,29,0)</f>
        <v>0</v>
      </c>
      <c r="K26" s="404">
        <f>VLOOKUP($C26,Batting!$B$44:$BZ$75,32,0)</f>
        <v>0</v>
      </c>
      <c r="L26" s="404">
        <f>VLOOKUP($C26,Batting!$B$44:$BZ$75,35,0)</f>
        <v>0</v>
      </c>
      <c r="M26" s="404">
        <f>VLOOKUP($C26,Batting!$B$44:$BZ$75,38,0)</f>
        <v>0</v>
      </c>
      <c r="N26" s="404">
        <f>VLOOKUP($C26,Batting!$B$44:$BZ$75,41,0)</f>
        <v>0</v>
      </c>
      <c r="O26" s="404">
        <f>VLOOKUP($C26,Batting!$B$44:$BZ$75,44,0)</f>
        <v>0</v>
      </c>
      <c r="P26" s="404">
        <f>VLOOKUP($C26,Batting!$B$44:$BZ$75,47,0)</f>
        <v>5</v>
      </c>
      <c r="Q26" s="404">
        <f>VLOOKUP($C26,Batting!$B$44:$BZ$75,50,0)</f>
        <v>0</v>
      </c>
      <c r="R26" s="404">
        <f>VLOOKUP($C26,Batting!$B$44:$BZ$75,53,0)</f>
        <v>0</v>
      </c>
      <c r="S26" s="404">
        <f>VLOOKUP($C26,Batting!$B$44:$BZ$75,56,0)</f>
        <v>0</v>
      </c>
      <c r="T26" s="404">
        <f>VLOOKUP($C26,Batting!$B$44:$BZ$75,59,0)</f>
        <v>0</v>
      </c>
      <c r="U26" s="404">
        <f>VLOOKUP($C26,Batting!$B$44:$BZ$75,62,0)</f>
        <v>0</v>
      </c>
      <c r="V26" s="404">
        <f>VLOOKUP($C26,Batting!$B$44:$BZ$75,65,0)</f>
        <v>0</v>
      </c>
      <c r="W26" s="404">
        <f>VLOOKUP($C26,Batting!$B$44:$BZ$75,68,0)</f>
        <v>0</v>
      </c>
      <c r="X26" s="404">
        <f>VLOOKUP($C26,Batting!$B$44:$BZ$75,71,0)</f>
        <v>0</v>
      </c>
      <c r="Y26" s="404">
        <f>VLOOKUP($C26,Batting!$B$44:$BZ$75,74,0)</f>
        <v>0</v>
      </c>
      <c r="Z26" s="405">
        <f>VLOOKUP($C26,Batting!$B$44:$BZ$75,77,0)</f>
        <v>0</v>
      </c>
      <c r="AA26" s="403">
        <f>_xlfn.IFNA(VLOOKUP($C26,Bowling!$B$39:$DX$66,24,0),0)</f>
        <v>0</v>
      </c>
      <c r="AB26" s="404">
        <f>_xlfn.IFNA(VLOOKUP($C26,Bowling!$B$39:$DX$66,29,0),0)</f>
        <v>0</v>
      </c>
      <c r="AC26" s="404">
        <f>_xlfn.IFNA(VLOOKUP($C26,Bowling!$B$39:$DX$66,34,0),0)</f>
        <v>0</v>
      </c>
      <c r="AD26" s="404">
        <f>_xlfn.IFNA(VLOOKUP($C26,Bowling!$B$39:$DX$66,39,0),0)</f>
        <v>0</v>
      </c>
      <c r="AE26" s="404">
        <f>_xlfn.IFNA(VLOOKUP($C26,Bowling!$B$39:$DX$66,44,0),0)</f>
        <v>0</v>
      </c>
      <c r="AF26" s="404">
        <f>_xlfn.IFNA(VLOOKUP($C26,Bowling!$B$39:$DX$66,49,0),0)</f>
        <v>0</v>
      </c>
      <c r="AG26" s="404">
        <f>_xlfn.IFNA(VLOOKUP($C26,Bowling!$B$39:$DX$66,54,0),0)</f>
        <v>0</v>
      </c>
      <c r="AH26" s="404">
        <f>_xlfn.IFNA(VLOOKUP($C26,Bowling!$B$39:$DX$66,59,0),0)</f>
        <v>0</v>
      </c>
      <c r="AI26" s="404">
        <f>_xlfn.IFNA(VLOOKUP($C26,Bowling!$B$39:$DX$66,64,0),0)</f>
        <v>0</v>
      </c>
      <c r="AJ26" s="404">
        <f>_xlfn.IFNA(VLOOKUP($C26,Bowling!$B$39:$DX$66,69,0),0)</f>
        <v>0</v>
      </c>
      <c r="AK26" s="404">
        <f>_xlfn.IFNA(VLOOKUP($C26,Bowling!$B$39:$DX$66,74,0),0)</f>
        <v>-4.5999999999999996</v>
      </c>
      <c r="AL26" s="404">
        <f>_xlfn.IFNA(VLOOKUP($C26,Bowling!$B$39:$DX$66,79,0),0)</f>
        <v>0</v>
      </c>
      <c r="AM26" s="404">
        <f>_xlfn.IFNA(VLOOKUP($C26,Bowling!$B$39:$DX$66,84,0),0)</f>
        <v>0</v>
      </c>
      <c r="AN26" s="404">
        <f>_xlfn.IFNA(VLOOKUP($C26,Bowling!$B$39:$DX$66,89,0),0)</f>
        <v>0</v>
      </c>
      <c r="AO26" s="404">
        <f>_xlfn.IFNA(VLOOKUP($C26,Bowling!$B$39:$DX$66,94,0),0)</f>
        <v>0</v>
      </c>
      <c r="AP26" s="404">
        <f>_xlfn.IFNA(VLOOKUP($C26,Bowling!$B$39:$DX$66,99,0),0)</f>
        <v>0</v>
      </c>
      <c r="AQ26" s="404">
        <f>_xlfn.IFNA(VLOOKUP($C26,Bowling!$B$39:$DX$66,104,0),0)</f>
        <v>0</v>
      </c>
      <c r="AR26" s="404">
        <f>_xlfn.IFNA(VLOOKUP($C26,Bowling!$B$39:$DX$66,109,0),0)</f>
        <v>0</v>
      </c>
      <c r="AS26" s="404">
        <f>_xlfn.IFNA(VLOOKUP($C26,Bowling!$B$39:$DX$66,114,0),0)</f>
        <v>0</v>
      </c>
      <c r="AT26" s="404">
        <f>_xlfn.IFNA(VLOOKUP($C26,Bowling!$B$39:$DX$66,119,0),0)</f>
        <v>0</v>
      </c>
      <c r="AU26" s="405">
        <f>_xlfn.IFNA(VLOOKUP($C26,Bowling!$B$39:$DX$66,124,0),0)</f>
        <v>0</v>
      </c>
      <c r="AV26" s="403">
        <f>_xlfn.IFNA(VLOOKUP($C26,Fielding!$B$23:$CN$36,8,0),0)</f>
        <v>0</v>
      </c>
      <c r="AW26" s="404">
        <f>_xlfn.IFNA(VLOOKUP($C26,Fielding!$B$23:$CN$36,12,0),0)</f>
        <v>0</v>
      </c>
      <c r="AX26" s="404">
        <f>_xlfn.IFNA(VLOOKUP($C26,Fielding!$B$23:$CN$36,16,0),0)</f>
        <v>0</v>
      </c>
      <c r="AY26" s="404">
        <f>_xlfn.IFNA(VLOOKUP($C26,Fielding!$B$23:$CN$36,20,0),0)</f>
        <v>0</v>
      </c>
      <c r="AZ26" s="404">
        <f>_xlfn.IFNA(VLOOKUP($C26,Fielding!$B$23:$CN$36,24,0),0)</f>
        <v>0</v>
      </c>
      <c r="BA26" s="404">
        <f>_xlfn.IFNA(VLOOKUP($C26,Fielding!$B$23:$CN$36,28,0),0)</f>
        <v>0</v>
      </c>
      <c r="BB26" s="404">
        <f>_xlfn.IFNA(VLOOKUP($C26,Fielding!$B$23:$CN$36,32,0),0)</f>
        <v>0</v>
      </c>
      <c r="BC26" s="404">
        <f>_xlfn.IFNA(VLOOKUP($C26,Fielding!$B$23:$CN$36,36,0),0)</f>
        <v>0</v>
      </c>
      <c r="BD26" s="404">
        <f>_xlfn.IFNA(VLOOKUP($C26,Fielding!$B$23:$CN$36,40,0),0)</f>
        <v>0</v>
      </c>
      <c r="BE26" s="404">
        <f>_xlfn.IFNA(VLOOKUP($C26,Fielding!$B$23:$CN$36,44,0),0)</f>
        <v>0</v>
      </c>
      <c r="BF26" s="404">
        <f>_xlfn.IFNA(VLOOKUP($C26,Fielding!$B$23:$CN$36,48,0),0)</f>
        <v>0</v>
      </c>
      <c r="BG26" s="404">
        <f>_xlfn.IFNA(VLOOKUP($C26,Fielding!$B$23:$CN$36,52,0),0)</f>
        <v>0</v>
      </c>
      <c r="BH26" s="404">
        <f>_xlfn.IFNA(VLOOKUP($C26,Fielding!$B$23:$CN$36,56,0),0)</f>
        <v>0</v>
      </c>
      <c r="BI26" s="404">
        <f>_xlfn.IFNA(VLOOKUP($C26,Fielding!$B$23:$CN$36,60,0),0)</f>
        <v>0</v>
      </c>
      <c r="BJ26" s="404">
        <f>_xlfn.IFNA(VLOOKUP($C26,Fielding!$B$23:$CN$36,64,0),0)</f>
        <v>0</v>
      </c>
      <c r="BK26" s="404">
        <f>_xlfn.IFNA(VLOOKUP($C26,Fielding!$B$23:$CN$36,68,0),0)</f>
        <v>0</v>
      </c>
      <c r="BL26" s="404">
        <f>_xlfn.IFNA(VLOOKUP($C26,Fielding!$B$23:$CN$36,72,0),0)</f>
        <v>0</v>
      </c>
      <c r="BM26" s="404">
        <f>_xlfn.IFNA(VLOOKUP($C26,Fielding!$B$23:$CN$36,76,0),0)</f>
        <v>0</v>
      </c>
      <c r="BN26" s="404">
        <f>_xlfn.IFNA(VLOOKUP($C26,Fielding!$B$23:$CN$36,80,0),0)</f>
        <v>0</v>
      </c>
      <c r="BO26" s="404">
        <f>_xlfn.IFNA(VLOOKUP($C26,Fielding!$B$23:$CN$36,84,0),0)</f>
        <v>0</v>
      </c>
      <c r="BP26" s="405">
        <f>_xlfn.IFNA(VLOOKUP($C26,Fielding!$B$23:$CN$36,88,0),0)</f>
        <v>0</v>
      </c>
      <c r="BQ26" s="403">
        <f t="shared" si="0"/>
        <v>0</v>
      </c>
      <c r="BR26" s="404">
        <f t="shared" si="1"/>
        <v>0</v>
      </c>
      <c r="BS26" s="404">
        <f t="shared" si="2"/>
        <v>0</v>
      </c>
      <c r="BT26" s="404">
        <f t="shared" si="3"/>
        <v>0</v>
      </c>
      <c r="BU26" s="404">
        <f t="shared" si="4"/>
        <v>0</v>
      </c>
      <c r="BV26" s="404">
        <f t="shared" si="5"/>
        <v>0</v>
      </c>
      <c r="BW26" s="404">
        <f t="shared" si="6"/>
        <v>0</v>
      </c>
      <c r="BX26" s="404">
        <f t="shared" si="7"/>
        <v>0</v>
      </c>
      <c r="BY26" s="404">
        <f t="shared" si="8"/>
        <v>0</v>
      </c>
      <c r="BZ26" s="404">
        <f t="shared" si="9"/>
        <v>0</v>
      </c>
      <c r="CA26" s="404">
        <f t="shared" si="10"/>
        <v>0.40000000000000036</v>
      </c>
      <c r="CB26" s="404">
        <f t="shared" si="11"/>
        <v>0</v>
      </c>
      <c r="CC26" s="404">
        <f t="shared" si="12"/>
        <v>0</v>
      </c>
      <c r="CD26" s="404">
        <f t="shared" si="13"/>
        <v>0</v>
      </c>
      <c r="CE26" s="404">
        <f t="shared" si="14"/>
        <v>0</v>
      </c>
      <c r="CF26" s="404">
        <f t="shared" si="15"/>
        <v>0</v>
      </c>
      <c r="CG26" s="404">
        <f t="shared" si="16"/>
        <v>0</v>
      </c>
      <c r="CH26" s="404">
        <f t="shared" si="17"/>
        <v>0</v>
      </c>
      <c r="CI26" s="404">
        <f t="shared" si="18"/>
        <v>0</v>
      </c>
      <c r="CJ26" s="404">
        <f t="shared" si="19"/>
        <v>0</v>
      </c>
      <c r="CK26" s="405">
        <f t="shared" si="20"/>
        <v>0</v>
      </c>
      <c r="CL26" s="403">
        <f t="shared" si="44"/>
        <v>0</v>
      </c>
      <c r="CM26" s="404">
        <f t="shared" si="45"/>
        <v>0</v>
      </c>
      <c r="CN26" s="404">
        <f t="shared" si="46"/>
        <v>0</v>
      </c>
      <c r="CO26" s="404">
        <f t="shared" si="47"/>
        <v>0</v>
      </c>
      <c r="CP26" s="404">
        <f t="shared" si="48"/>
        <v>0</v>
      </c>
      <c r="CQ26" s="404">
        <f t="shared" si="49"/>
        <v>0</v>
      </c>
      <c r="CR26" s="404">
        <f t="shared" si="50"/>
        <v>0</v>
      </c>
      <c r="CS26" s="404">
        <f t="shared" si="51"/>
        <v>0</v>
      </c>
      <c r="CT26" s="404">
        <f t="shared" si="52"/>
        <v>0</v>
      </c>
      <c r="CU26" s="404">
        <f t="shared" si="53"/>
        <v>0</v>
      </c>
      <c r="CV26" s="404">
        <f t="shared" si="54"/>
        <v>0.40000000000000036</v>
      </c>
      <c r="CW26" s="404">
        <f t="shared" si="55"/>
        <v>0.40000000000000036</v>
      </c>
      <c r="CX26" s="404">
        <f t="shared" si="56"/>
        <v>0.40000000000000036</v>
      </c>
      <c r="CY26" s="404">
        <f t="shared" si="57"/>
        <v>0.40000000000000036</v>
      </c>
      <c r="CZ26" s="404">
        <f t="shared" si="58"/>
        <v>0.40000000000000036</v>
      </c>
      <c r="DA26" s="404">
        <f t="shared" si="59"/>
        <v>0.40000000000000036</v>
      </c>
      <c r="DB26" s="404">
        <f t="shared" si="60"/>
        <v>0.40000000000000036</v>
      </c>
      <c r="DC26" s="404">
        <f t="shared" si="61"/>
        <v>0.40000000000000036</v>
      </c>
      <c r="DD26" s="404">
        <f t="shared" si="62"/>
        <v>0.40000000000000036</v>
      </c>
      <c r="DE26" s="404">
        <f t="shared" si="63"/>
        <v>0.40000000000000036</v>
      </c>
      <c r="DF26" s="405">
        <f t="shared" si="64"/>
        <v>0.40000000000000036</v>
      </c>
      <c r="DG26" s="414" t="str">
        <f t="shared" si="22"/>
        <v>-</v>
      </c>
      <c r="DH26" s="415" t="str">
        <f t="shared" si="23"/>
        <v>-</v>
      </c>
      <c r="DI26" s="415" t="str">
        <f t="shared" si="24"/>
        <v>-</v>
      </c>
      <c r="DJ26" s="415" t="str">
        <f t="shared" si="25"/>
        <v>-</v>
      </c>
      <c r="DK26" s="415" t="str">
        <f t="shared" si="26"/>
        <v>-</v>
      </c>
      <c r="DL26" s="415" t="str">
        <f t="shared" si="27"/>
        <v>-</v>
      </c>
      <c r="DM26" s="415" t="str">
        <f t="shared" si="28"/>
        <v>-</v>
      </c>
      <c r="DN26" s="415" t="str">
        <f t="shared" si="29"/>
        <v>-</v>
      </c>
      <c r="DO26" s="415" t="str">
        <f t="shared" si="30"/>
        <v>-</v>
      </c>
      <c r="DP26" s="415" t="str">
        <f t="shared" si="31"/>
        <v>-</v>
      </c>
      <c r="DQ26" s="415">
        <f t="shared" si="32"/>
        <v>20</v>
      </c>
      <c r="DR26" s="415">
        <f t="shared" si="33"/>
        <v>22</v>
      </c>
      <c r="DS26" s="415">
        <f t="shared" si="34"/>
        <v>22</v>
      </c>
      <c r="DT26" s="415">
        <f t="shared" si="35"/>
        <v>22</v>
      </c>
      <c r="DU26" s="415">
        <f t="shared" si="36"/>
        <v>22</v>
      </c>
      <c r="DV26" s="415">
        <f t="shared" si="37"/>
        <v>23</v>
      </c>
      <c r="DW26" s="415">
        <f t="shared" si="38"/>
        <v>24</v>
      </c>
      <c r="DX26" s="415">
        <f t="shared" si="39"/>
        <v>25</v>
      </c>
      <c r="DY26" s="415">
        <f t="shared" si="40"/>
        <v>25</v>
      </c>
      <c r="DZ26" s="415">
        <f t="shared" si="41"/>
        <v>25</v>
      </c>
      <c r="EA26" s="416">
        <f t="shared" si="42"/>
        <v>25</v>
      </c>
    </row>
    <row r="27" spans="1:131" x14ac:dyDescent="0.2">
      <c r="A27" s="119"/>
      <c r="B27" s="157">
        <f t="shared" si="43"/>
        <v>25</v>
      </c>
      <c r="C27" s="158" t="s">
        <v>219</v>
      </c>
      <c r="D27" s="159" t="s">
        <v>191</v>
      </c>
      <c r="E27" s="409">
        <f>IF(ISNA(VLOOKUP($C27,Batting!$B$5:$M$103,3,FALSE)),0,(VLOOKUP($C27,Batting!$B$5:$M$103,3,FALSE)))</f>
        <v>1</v>
      </c>
      <c r="F27" s="403">
        <f>VLOOKUP($C27,Batting!$B$44:$BZ$75,17,0)</f>
        <v>0</v>
      </c>
      <c r="G27" s="404">
        <f>VLOOKUP($C27,Batting!$B$44:$BZ$75,20,0)</f>
        <v>0</v>
      </c>
      <c r="H27" s="404">
        <f>VLOOKUP($C27,Batting!$B$44:$BZ$75,23,0)</f>
        <v>0</v>
      </c>
      <c r="I27" s="404">
        <f>VLOOKUP($C27,Batting!$B$44:$BZ$75,26,0)</f>
        <v>0</v>
      </c>
      <c r="J27" s="404">
        <f>VLOOKUP($C27,Batting!$B$44:$BZ$75,29,0)</f>
        <v>0</v>
      </c>
      <c r="K27" s="404">
        <f>VLOOKUP($C27,Batting!$B$44:$BZ$75,32,0)</f>
        <v>0</v>
      </c>
      <c r="L27" s="404">
        <f>VLOOKUP($C27,Batting!$B$44:$BZ$75,35,0)</f>
        <v>0</v>
      </c>
      <c r="M27" s="404">
        <f>VLOOKUP($C27,Batting!$B$44:$BZ$75,38,0)</f>
        <v>0</v>
      </c>
      <c r="N27" s="404">
        <f>VLOOKUP($C27,Batting!$B$44:$BZ$75,41,0)</f>
        <v>0</v>
      </c>
      <c r="O27" s="404">
        <f>VLOOKUP($C27,Batting!$B$44:$BZ$75,44,0)</f>
        <v>0</v>
      </c>
      <c r="P27" s="404">
        <f>VLOOKUP($C27,Batting!$B$44:$BZ$75,47,0)</f>
        <v>0</v>
      </c>
      <c r="Q27" s="404">
        <f>VLOOKUP($C27,Batting!$B$44:$BZ$75,50,0)</f>
        <v>0</v>
      </c>
      <c r="R27" s="404">
        <f>VLOOKUP($C27,Batting!$B$44:$BZ$75,53,0)</f>
        <v>0</v>
      </c>
      <c r="S27" s="404">
        <f>VLOOKUP($C27,Batting!$B$44:$BZ$75,56,0)</f>
        <v>2</v>
      </c>
      <c r="T27" s="404">
        <f>VLOOKUP($C27,Batting!$B$44:$BZ$75,59,0)</f>
        <v>0</v>
      </c>
      <c r="U27" s="404">
        <f>VLOOKUP($C27,Batting!$B$44:$BZ$75,62,0)</f>
        <v>0</v>
      </c>
      <c r="V27" s="404">
        <f>VLOOKUP($C27,Batting!$B$44:$BZ$75,65,0)</f>
        <v>0</v>
      </c>
      <c r="W27" s="404">
        <f>VLOOKUP($C27,Batting!$B$44:$BZ$75,68,0)</f>
        <v>0</v>
      </c>
      <c r="X27" s="404">
        <f>VLOOKUP($C27,Batting!$B$44:$BZ$75,71,0)</f>
        <v>0</v>
      </c>
      <c r="Y27" s="404">
        <f>VLOOKUP($C27,Batting!$B$44:$BZ$75,74,0)</f>
        <v>0</v>
      </c>
      <c r="Z27" s="405">
        <f>VLOOKUP($C27,Batting!$B$44:$BZ$75,77,0)</f>
        <v>0</v>
      </c>
      <c r="AA27" s="403">
        <f>_xlfn.IFNA(VLOOKUP($C27,Bowling!$B$39:$DX$66,24,0),0)</f>
        <v>0</v>
      </c>
      <c r="AB27" s="404">
        <f>_xlfn.IFNA(VLOOKUP($C27,Bowling!$B$39:$DX$66,29,0),0)</f>
        <v>0</v>
      </c>
      <c r="AC27" s="404">
        <f>_xlfn.IFNA(VLOOKUP($C27,Bowling!$B$39:$DX$66,34,0),0)</f>
        <v>0</v>
      </c>
      <c r="AD27" s="404">
        <f>_xlfn.IFNA(VLOOKUP($C27,Bowling!$B$39:$DX$66,39,0),0)</f>
        <v>0</v>
      </c>
      <c r="AE27" s="404">
        <f>_xlfn.IFNA(VLOOKUP($C27,Bowling!$B$39:$DX$66,44,0),0)</f>
        <v>0</v>
      </c>
      <c r="AF27" s="404">
        <f>_xlfn.IFNA(VLOOKUP($C27,Bowling!$B$39:$DX$66,49,0),0)</f>
        <v>0</v>
      </c>
      <c r="AG27" s="404">
        <f>_xlfn.IFNA(VLOOKUP($C27,Bowling!$B$39:$DX$66,54,0),0)</f>
        <v>0</v>
      </c>
      <c r="AH27" s="404">
        <f>_xlfn.IFNA(VLOOKUP($C27,Bowling!$B$39:$DX$66,59,0),0)</f>
        <v>0</v>
      </c>
      <c r="AI27" s="404">
        <f>_xlfn.IFNA(VLOOKUP($C27,Bowling!$B$39:$DX$66,64,0),0)</f>
        <v>0</v>
      </c>
      <c r="AJ27" s="404">
        <f>_xlfn.IFNA(VLOOKUP($C27,Bowling!$B$39:$DX$66,69,0),0)</f>
        <v>0</v>
      </c>
      <c r="AK27" s="404">
        <f>_xlfn.IFNA(VLOOKUP($C27,Bowling!$B$39:$DX$66,74,0),0)</f>
        <v>0</v>
      </c>
      <c r="AL27" s="404">
        <f>_xlfn.IFNA(VLOOKUP($C27,Bowling!$B$39:$DX$66,79,0),0)</f>
        <v>0</v>
      </c>
      <c r="AM27" s="404">
        <f>_xlfn.IFNA(VLOOKUP($C27,Bowling!$B$39:$DX$66,84,0),0)</f>
        <v>0</v>
      </c>
      <c r="AN27" s="404">
        <f>_xlfn.IFNA(VLOOKUP($C27,Bowling!$B$39:$DX$66,89,0),0)</f>
        <v>-4.5999999999999996</v>
      </c>
      <c r="AO27" s="404">
        <f>_xlfn.IFNA(VLOOKUP($C27,Bowling!$B$39:$DX$66,94,0),0)</f>
        <v>0</v>
      </c>
      <c r="AP27" s="404">
        <f>_xlfn.IFNA(VLOOKUP($C27,Bowling!$B$39:$DX$66,99,0),0)</f>
        <v>0</v>
      </c>
      <c r="AQ27" s="404">
        <f>_xlfn.IFNA(VLOOKUP($C27,Bowling!$B$39:$DX$66,104,0),0)</f>
        <v>0</v>
      </c>
      <c r="AR27" s="404">
        <f>_xlfn.IFNA(VLOOKUP($C27,Bowling!$B$39:$DX$66,109,0),0)</f>
        <v>0</v>
      </c>
      <c r="AS27" s="404">
        <f>_xlfn.IFNA(VLOOKUP($C27,Bowling!$B$39:$DX$66,114,0),0)</f>
        <v>0</v>
      </c>
      <c r="AT27" s="404">
        <f>_xlfn.IFNA(VLOOKUP($C27,Bowling!$B$39:$DX$66,119,0),0)</f>
        <v>0</v>
      </c>
      <c r="AU27" s="405">
        <f>_xlfn.IFNA(VLOOKUP($C27,Bowling!$B$39:$DX$66,124,0),0)</f>
        <v>0</v>
      </c>
      <c r="AV27" s="403">
        <f>_xlfn.IFNA(VLOOKUP($C27,Fielding!$B$23:$CN$36,8,0),0)</f>
        <v>0</v>
      </c>
      <c r="AW27" s="404">
        <f>_xlfn.IFNA(VLOOKUP($C27,Fielding!$B$23:$CN$36,12,0),0)</f>
        <v>0</v>
      </c>
      <c r="AX27" s="404">
        <f>_xlfn.IFNA(VLOOKUP($C27,Fielding!$B$23:$CN$36,16,0),0)</f>
        <v>0</v>
      </c>
      <c r="AY27" s="404">
        <f>_xlfn.IFNA(VLOOKUP($C27,Fielding!$B$23:$CN$36,20,0),0)</f>
        <v>0</v>
      </c>
      <c r="AZ27" s="404">
        <f>_xlfn.IFNA(VLOOKUP($C27,Fielding!$B$23:$CN$36,24,0),0)</f>
        <v>0</v>
      </c>
      <c r="BA27" s="404">
        <f>_xlfn.IFNA(VLOOKUP($C27,Fielding!$B$23:$CN$36,28,0),0)</f>
        <v>0</v>
      </c>
      <c r="BB27" s="404">
        <f>_xlfn.IFNA(VLOOKUP($C27,Fielding!$B$23:$CN$36,32,0),0)</f>
        <v>0</v>
      </c>
      <c r="BC27" s="404">
        <f>_xlfn.IFNA(VLOOKUP($C27,Fielding!$B$23:$CN$36,36,0),0)</f>
        <v>0</v>
      </c>
      <c r="BD27" s="404">
        <f>_xlfn.IFNA(VLOOKUP($C27,Fielding!$B$23:$CN$36,40,0),0)</f>
        <v>0</v>
      </c>
      <c r="BE27" s="404">
        <f>_xlfn.IFNA(VLOOKUP($C27,Fielding!$B$23:$CN$36,44,0),0)</f>
        <v>0</v>
      </c>
      <c r="BF27" s="404">
        <f>_xlfn.IFNA(VLOOKUP($C27,Fielding!$B$23:$CN$36,48,0),0)</f>
        <v>0</v>
      </c>
      <c r="BG27" s="404">
        <f>_xlfn.IFNA(VLOOKUP($C27,Fielding!$B$23:$CN$36,52,0),0)</f>
        <v>0</v>
      </c>
      <c r="BH27" s="404">
        <f>_xlfn.IFNA(VLOOKUP($C27,Fielding!$B$23:$CN$36,56,0),0)</f>
        <v>0</v>
      </c>
      <c r="BI27" s="404">
        <f>_xlfn.IFNA(VLOOKUP($C27,Fielding!$B$23:$CN$36,60,0),0)</f>
        <v>0</v>
      </c>
      <c r="BJ27" s="404">
        <f>_xlfn.IFNA(VLOOKUP($C27,Fielding!$B$23:$CN$36,64,0),0)</f>
        <v>0</v>
      </c>
      <c r="BK27" s="404">
        <f>_xlfn.IFNA(VLOOKUP($C27,Fielding!$B$23:$CN$36,68,0),0)</f>
        <v>0</v>
      </c>
      <c r="BL27" s="404">
        <f>_xlfn.IFNA(VLOOKUP($C27,Fielding!$B$23:$CN$36,72,0),0)</f>
        <v>0</v>
      </c>
      <c r="BM27" s="404">
        <f>_xlfn.IFNA(VLOOKUP($C27,Fielding!$B$23:$CN$36,76,0),0)</f>
        <v>0</v>
      </c>
      <c r="BN27" s="404">
        <f>_xlfn.IFNA(VLOOKUP($C27,Fielding!$B$23:$CN$36,80,0),0)</f>
        <v>0</v>
      </c>
      <c r="BO27" s="404">
        <f>_xlfn.IFNA(VLOOKUP($C27,Fielding!$B$23:$CN$36,84,0),0)</f>
        <v>0</v>
      </c>
      <c r="BP27" s="405">
        <f>_xlfn.IFNA(VLOOKUP($C27,Fielding!$B$23:$CN$36,88,0),0)</f>
        <v>0</v>
      </c>
      <c r="BQ27" s="403">
        <f t="shared" si="0"/>
        <v>0</v>
      </c>
      <c r="BR27" s="404">
        <f t="shared" si="1"/>
        <v>0</v>
      </c>
      <c r="BS27" s="404">
        <f t="shared" si="2"/>
        <v>0</v>
      </c>
      <c r="BT27" s="404">
        <f t="shared" si="3"/>
        <v>0</v>
      </c>
      <c r="BU27" s="404">
        <f t="shared" si="4"/>
        <v>0</v>
      </c>
      <c r="BV27" s="404">
        <f t="shared" si="5"/>
        <v>0</v>
      </c>
      <c r="BW27" s="404">
        <f t="shared" si="6"/>
        <v>0</v>
      </c>
      <c r="BX27" s="404">
        <f t="shared" si="7"/>
        <v>0</v>
      </c>
      <c r="BY27" s="404">
        <f t="shared" si="8"/>
        <v>0</v>
      </c>
      <c r="BZ27" s="404">
        <f t="shared" si="9"/>
        <v>0</v>
      </c>
      <c r="CA27" s="404">
        <f t="shared" si="10"/>
        <v>0</v>
      </c>
      <c r="CB27" s="404">
        <f t="shared" si="11"/>
        <v>0</v>
      </c>
      <c r="CC27" s="404">
        <f t="shared" si="12"/>
        <v>0</v>
      </c>
      <c r="CD27" s="404">
        <f t="shared" si="13"/>
        <v>-2.5999999999999996</v>
      </c>
      <c r="CE27" s="404">
        <f t="shared" si="14"/>
        <v>0</v>
      </c>
      <c r="CF27" s="404">
        <f t="shared" si="15"/>
        <v>0</v>
      </c>
      <c r="CG27" s="404">
        <f t="shared" si="16"/>
        <v>0</v>
      </c>
      <c r="CH27" s="404">
        <f t="shared" si="17"/>
        <v>0</v>
      </c>
      <c r="CI27" s="404">
        <f t="shared" si="18"/>
        <v>0</v>
      </c>
      <c r="CJ27" s="404">
        <f t="shared" si="19"/>
        <v>0</v>
      </c>
      <c r="CK27" s="405">
        <f t="shared" si="20"/>
        <v>0</v>
      </c>
      <c r="CL27" s="403">
        <f t="shared" si="44"/>
        <v>0</v>
      </c>
      <c r="CM27" s="404">
        <f t="shared" si="45"/>
        <v>0</v>
      </c>
      <c r="CN27" s="404">
        <f t="shared" si="46"/>
        <v>0</v>
      </c>
      <c r="CO27" s="404">
        <f t="shared" si="47"/>
        <v>0</v>
      </c>
      <c r="CP27" s="404">
        <f t="shared" si="48"/>
        <v>0</v>
      </c>
      <c r="CQ27" s="404">
        <f t="shared" si="49"/>
        <v>0</v>
      </c>
      <c r="CR27" s="404">
        <f t="shared" si="50"/>
        <v>0</v>
      </c>
      <c r="CS27" s="404">
        <f t="shared" si="51"/>
        <v>0</v>
      </c>
      <c r="CT27" s="404">
        <f t="shared" si="52"/>
        <v>0</v>
      </c>
      <c r="CU27" s="404">
        <f t="shared" si="53"/>
        <v>0</v>
      </c>
      <c r="CV27" s="404">
        <f t="shared" si="54"/>
        <v>0</v>
      </c>
      <c r="CW27" s="404">
        <f t="shared" si="55"/>
        <v>0</v>
      </c>
      <c r="CX27" s="404">
        <f t="shared" si="56"/>
        <v>0</v>
      </c>
      <c r="CY27" s="404">
        <f t="shared" si="57"/>
        <v>-2.5999999999999996</v>
      </c>
      <c r="CZ27" s="404">
        <f t="shared" si="58"/>
        <v>-2.5999999999999996</v>
      </c>
      <c r="DA27" s="404">
        <f t="shared" si="59"/>
        <v>-2.5999999999999996</v>
      </c>
      <c r="DB27" s="404">
        <f t="shared" si="60"/>
        <v>-2.5999999999999996</v>
      </c>
      <c r="DC27" s="404">
        <f t="shared" si="61"/>
        <v>-2.5999999999999996</v>
      </c>
      <c r="DD27" s="404">
        <f t="shared" si="62"/>
        <v>-2.5999999999999996</v>
      </c>
      <c r="DE27" s="404">
        <f t="shared" si="63"/>
        <v>-2.5999999999999996</v>
      </c>
      <c r="DF27" s="405">
        <f t="shared" si="64"/>
        <v>-2.5999999999999996</v>
      </c>
      <c r="DG27" s="414" t="str">
        <f t="shared" si="22"/>
        <v>-</v>
      </c>
      <c r="DH27" s="415" t="str">
        <f t="shared" si="23"/>
        <v>-</v>
      </c>
      <c r="DI27" s="415" t="str">
        <f t="shared" si="24"/>
        <v>-</v>
      </c>
      <c r="DJ27" s="415" t="str">
        <f t="shared" si="25"/>
        <v>-</v>
      </c>
      <c r="DK27" s="415" t="str">
        <f t="shared" si="26"/>
        <v>-</v>
      </c>
      <c r="DL27" s="415" t="str">
        <f t="shared" si="27"/>
        <v>-</v>
      </c>
      <c r="DM27" s="415" t="str">
        <f t="shared" si="28"/>
        <v>-</v>
      </c>
      <c r="DN27" s="415" t="str">
        <f t="shared" si="29"/>
        <v>-</v>
      </c>
      <c r="DO27" s="415" t="str">
        <f t="shared" si="30"/>
        <v>-</v>
      </c>
      <c r="DP27" s="415" t="str">
        <f t="shared" si="31"/>
        <v>-</v>
      </c>
      <c r="DQ27" s="415" t="str">
        <f t="shared" si="32"/>
        <v>-</v>
      </c>
      <c r="DR27" s="415" t="str">
        <f t="shared" si="33"/>
        <v>-</v>
      </c>
      <c r="DS27" s="415" t="str">
        <f t="shared" si="34"/>
        <v>-</v>
      </c>
      <c r="DT27" s="415">
        <f t="shared" si="35"/>
        <v>24</v>
      </c>
      <c r="DU27" s="415">
        <f t="shared" si="36"/>
        <v>24</v>
      </c>
      <c r="DV27" s="415">
        <f t="shared" si="37"/>
        <v>24</v>
      </c>
      <c r="DW27" s="415">
        <f t="shared" si="38"/>
        <v>25</v>
      </c>
      <c r="DX27" s="415">
        <f t="shared" si="39"/>
        <v>26</v>
      </c>
      <c r="DY27" s="415">
        <f t="shared" si="40"/>
        <v>26</v>
      </c>
      <c r="DZ27" s="415">
        <f t="shared" si="41"/>
        <v>26</v>
      </c>
      <c r="EA27" s="416">
        <f t="shared" si="42"/>
        <v>26</v>
      </c>
    </row>
    <row r="28" spans="1:131" x14ac:dyDescent="0.2">
      <c r="A28" s="119"/>
      <c r="B28" s="157">
        <f t="shared" si="43"/>
        <v>26</v>
      </c>
      <c r="C28" s="158" t="s">
        <v>275</v>
      </c>
      <c r="D28" s="159" t="s">
        <v>191</v>
      </c>
      <c r="E28" s="409">
        <f>IF(ISNA(VLOOKUP($C28,Batting!$B$5:$M$103,3,FALSE)),0,(VLOOKUP($C28,Batting!$B$5:$M$103,3,FALSE)))</f>
        <v>1</v>
      </c>
      <c r="F28" s="403">
        <f>VLOOKUP($C28,Batting!$B$44:$BZ$75,17,0)</f>
        <v>0</v>
      </c>
      <c r="G28" s="404">
        <f>VLOOKUP($C28,Batting!$B$44:$BZ$75,20,0)</f>
        <v>0</v>
      </c>
      <c r="H28" s="404">
        <f>VLOOKUP($C28,Batting!$B$44:$BZ$75,23,0)</f>
        <v>0</v>
      </c>
      <c r="I28" s="404">
        <f>VLOOKUP($C28,Batting!$B$44:$BZ$75,26,0)</f>
        <v>0</v>
      </c>
      <c r="J28" s="404">
        <f>VLOOKUP($C28,Batting!$B$44:$BZ$75,29,0)</f>
        <v>0</v>
      </c>
      <c r="K28" s="404">
        <f>VLOOKUP($C28,Batting!$B$44:$BZ$75,32,0)</f>
        <v>0</v>
      </c>
      <c r="L28" s="404">
        <f>VLOOKUP($C28,Batting!$B$44:$BZ$75,35,0)</f>
        <v>-7</v>
      </c>
      <c r="M28" s="404">
        <f>VLOOKUP($C28,Batting!$B$44:$BZ$75,38,0)</f>
        <v>0</v>
      </c>
      <c r="N28" s="404">
        <f>VLOOKUP($C28,Batting!$B$44:$BZ$75,41,0)</f>
        <v>0</v>
      </c>
      <c r="O28" s="404">
        <f>VLOOKUP($C28,Batting!$B$44:$BZ$75,44,0)</f>
        <v>0</v>
      </c>
      <c r="P28" s="404">
        <f>VLOOKUP($C28,Batting!$B$44:$BZ$75,47,0)</f>
        <v>0</v>
      </c>
      <c r="Q28" s="404">
        <f>VLOOKUP($C28,Batting!$B$44:$BZ$75,50,0)</f>
        <v>0</v>
      </c>
      <c r="R28" s="404">
        <f>VLOOKUP($C28,Batting!$B$44:$BZ$75,53,0)</f>
        <v>0</v>
      </c>
      <c r="S28" s="404">
        <f>VLOOKUP($C28,Batting!$B$44:$BZ$75,56,0)</f>
        <v>0</v>
      </c>
      <c r="T28" s="404">
        <f>VLOOKUP($C28,Batting!$B$44:$BZ$75,59,0)</f>
        <v>0</v>
      </c>
      <c r="U28" s="404">
        <f>VLOOKUP($C28,Batting!$B$44:$BZ$75,62,0)</f>
        <v>0</v>
      </c>
      <c r="V28" s="404">
        <f>VLOOKUP($C28,Batting!$B$44:$BZ$75,65,0)</f>
        <v>0</v>
      </c>
      <c r="W28" s="404">
        <f>VLOOKUP($C28,Batting!$B$44:$BZ$75,68,0)</f>
        <v>0</v>
      </c>
      <c r="X28" s="404">
        <f>VLOOKUP($C28,Batting!$B$44:$BZ$75,71,0)</f>
        <v>0</v>
      </c>
      <c r="Y28" s="404">
        <f>VLOOKUP($C28,Batting!$B$44:$BZ$75,74,0)</f>
        <v>0</v>
      </c>
      <c r="Z28" s="405">
        <f>VLOOKUP($C28,Batting!$B$44:$BZ$75,77,0)</f>
        <v>0</v>
      </c>
      <c r="AA28" s="403">
        <f>_xlfn.IFNA(VLOOKUP($C28,Bowling!$B$39:$DX$66,24,0),0)</f>
        <v>0</v>
      </c>
      <c r="AB28" s="404">
        <f>_xlfn.IFNA(VLOOKUP($C28,Bowling!$B$39:$DX$66,29,0),0)</f>
        <v>0</v>
      </c>
      <c r="AC28" s="404">
        <f>_xlfn.IFNA(VLOOKUP($C28,Bowling!$B$39:$DX$66,34,0),0)</f>
        <v>0</v>
      </c>
      <c r="AD28" s="404">
        <f>_xlfn.IFNA(VLOOKUP($C28,Bowling!$B$39:$DX$66,39,0),0)</f>
        <v>0</v>
      </c>
      <c r="AE28" s="404">
        <f>_xlfn.IFNA(VLOOKUP($C28,Bowling!$B$39:$DX$66,44,0),0)</f>
        <v>0</v>
      </c>
      <c r="AF28" s="404">
        <f>_xlfn.IFNA(VLOOKUP($C28,Bowling!$B$39:$DX$66,49,0),0)</f>
        <v>0</v>
      </c>
      <c r="AG28" s="404">
        <f>_xlfn.IFNA(VLOOKUP($C28,Bowling!$B$39:$DX$66,54,0),0)</f>
        <v>0</v>
      </c>
      <c r="AH28" s="404">
        <f>_xlfn.IFNA(VLOOKUP($C28,Bowling!$B$39:$DX$66,59,0),0)</f>
        <v>0</v>
      </c>
      <c r="AI28" s="404">
        <f>_xlfn.IFNA(VLOOKUP($C28,Bowling!$B$39:$DX$66,64,0),0)</f>
        <v>0</v>
      </c>
      <c r="AJ28" s="404">
        <f>_xlfn.IFNA(VLOOKUP($C28,Bowling!$B$39:$DX$66,69,0),0)</f>
        <v>0</v>
      </c>
      <c r="AK28" s="404">
        <f>_xlfn.IFNA(VLOOKUP($C28,Bowling!$B$39:$DX$66,74,0),0)</f>
        <v>0</v>
      </c>
      <c r="AL28" s="404">
        <f>_xlfn.IFNA(VLOOKUP($C28,Bowling!$B$39:$DX$66,79,0),0)</f>
        <v>0</v>
      </c>
      <c r="AM28" s="404">
        <f>_xlfn.IFNA(VLOOKUP($C28,Bowling!$B$39:$DX$66,84,0),0)</f>
        <v>0</v>
      </c>
      <c r="AN28" s="404">
        <f>_xlfn.IFNA(VLOOKUP($C28,Bowling!$B$39:$DX$66,89,0),0)</f>
        <v>0</v>
      </c>
      <c r="AO28" s="404">
        <f>_xlfn.IFNA(VLOOKUP($C28,Bowling!$B$39:$DX$66,94,0),0)</f>
        <v>0</v>
      </c>
      <c r="AP28" s="404">
        <f>_xlfn.IFNA(VLOOKUP($C28,Bowling!$B$39:$DX$66,99,0),0)</f>
        <v>0</v>
      </c>
      <c r="AQ28" s="404">
        <f>_xlfn.IFNA(VLOOKUP($C28,Bowling!$B$39:$DX$66,104,0),0)</f>
        <v>0</v>
      </c>
      <c r="AR28" s="404">
        <f>_xlfn.IFNA(VLOOKUP($C28,Bowling!$B$39:$DX$66,109,0),0)</f>
        <v>0</v>
      </c>
      <c r="AS28" s="404">
        <f>_xlfn.IFNA(VLOOKUP($C28,Bowling!$B$39:$DX$66,114,0),0)</f>
        <v>0</v>
      </c>
      <c r="AT28" s="404">
        <f>_xlfn.IFNA(VLOOKUP($C28,Bowling!$B$39:$DX$66,119,0),0)</f>
        <v>0</v>
      </c>
      <c r="AU28" s="405">
        <f>_xlfn.IFNA(VLOOKUP($C28,Bowling!$B$39:$DX$66,124,0),0)</f>
        <v>0</v>
      </c>
      <c r="AV28" s="403">
        <f>_xlfn.IFNA(VLOOKUP($C28,Fielding!$B$23:$CN$36,8,0),0)</f>
        <v>0</v>
      </c>
      <c r="AW28" s="404">
        <f>_xlfn.IFNA(VLOOKUP($C28,Fielding!$B$23:$CN$36,12,0),0)</f>
        <v>0</v>
      </c>
      <c r="AX28" s="404">
        <f>_xlfn.IFNA(VLOOKUP($C28,Fielding!$B$23:$CN$36,16,0),0)</f>
        <v>0</v>
      </c>
      <c r="AY28" s="404">
        <f>_xlfn.IFNA(VLOOKUP($C28,Fielding!$B$23:$CN$36,20,0),0)</f>
        <v>0</v>
      </c>
      <c r="AZ28" s="404">
        <f>_xlfn.IFNA(VLOOKUP($C28,Fielding!$B$23:$CN$36,24,0),0)</f>
        <v>0</v>
      </c>
      <c r="BA28" s="404">
        <f>_xlfn.IFNA(VLOOKUP($C28,Fielding!$B$23:$CN$36,28,0),0)</f>
        <v>0</v>
      </c>
      <c r="BB28" s="404">
        <f>_xlfn.IFNA(VLOOKUP($C28,Fielding!$B$23:$CN$36,32,0),0)</f>
        <v>0</v>
      </c>
      <c r="BC28" s="404">
        <f>_xlfn.IFNA(VLOOKUP($C28,Fielding!$B$23:$CN$36,36,0),0)</f>
        <v>0</v>
      </c>
      <c r="BD28" s="404">
        <f>_xlfn.IFNA(VLOOKUP($C28,Fielding!$B$23:$CN$36,40,0),0)</f>
        <v>0</v>
      </c>
      <c r="BE28" s="404">
        <f>_xlfn.IFNA(VLOOKUP($C28,Fielding!$B$23:$CN$36,44,0),0)</f>
        <v>0</v>
      </c>
      <c r="BF28" s="404">
        <f>_xlfn.IFNA(VLOOKUP($C28,Fielding!$B$23:$CN$36,48,0),0)</f>
        <v>0</v>
      </c>
      <c r="BG28" s="404">
        <f>_xlfn.IFNA(VLOOKUP($C28,Fielding!$B$23:$CN$36,52,0),0)</f>
        <v>0</v>
      </c>
      <c r="BH28" s="404">
        <f>_xlfn.IFNA(VLOOKUP($C28,Fielding!$B$23:$CN$36,56,0),0)</f>
        <v>0</v>
      </c>
      <c r="BI28" s="404">
        <f>_xlfn.IFNA(VLOOKUP($C28,Fielding!$B$23:$CN$36,60,0),0)</f>
        <v>0</v>
      </c>
      <c r="BJ28" s="404">
        <f>_xlfn.IFNA(VLOOKUP($C28,Fielding!$B$23:$CN$36,64,0),0)</f>
        <v>0</v>
      </c>
      <c r="BK28" s="404">
        <f>_xlfn.IFNA(VLOOKUP($C28,Fielding!$B$23:$CN$36,68,0),0)</f>
        <v>0</v>
      </c>
      <c r="BL28" s="404">
        <f>_xlfn.IFNA(VLOOKUP($C28,Fielding!$B$23:$CN$36,72,0),0)</f>
        <v>0</v>
      </c>
      <c r="BM28" s="404">
        <f>_xlfn.IFNA(VLOOKUP($C28,Fielding!$B$23:$CN$36,76,0),0)</f>
        <v>0</v>
      </c>
      <c r="BN28" s="404">
        <f>_xlfn.IFNA(VLOOKUP($C28,Fielding!$B$23:$CN$36,80,0),0)</f>
        <v>0</v>
      </c>
      <c r="BO28" s="404">
        <f>_xlfn.IFNA(VLOOKUP($C28,Fielding!$B$23:$CN$36,84,0),0)</f>
        <v>0</v>
      </c>
      <c r="BP28" s="405">
        <f>_xlfn.IFNA(VLOOKUP($C28,Fielding!$B$23:$CN$36,88,0),0)</f>
        <v>0</v>
      </c>
      <c r="BQ28" s="403">
        <f t="shared" si="0"/>
        <v>0</v>
      </c>
      <c r="BR28" s="404">
        <f t="shared" si="1"/>
        <v>0</v>
      </c>
      <c r="BS28" s="404">
        <f t="shared" si="2"/>
        <v>0</v>
      </c>
      <c r="BT28" s="404">
        <f t="shared" si="3"/>
        <v>0</v>
      </c>
      <c r="BU28" s="404">
        <f t="shared" si="4"/>
        <v>0</v>
      </c>
      <c r="BV28" s="404">
        <f t="shared" si="5"/>
        <v>0</v>
      </c>
      <c r="BW28" s="404">
        <f t="shared" si="6"/>
        <v>-7</v>
      </c>
      <c r="BX28" s="404">
        <f t="shared" si="7"/>
        <v>0</v>
      </c>
      <c r="BY28" s="404">
        <f t="shared" si="8"/>
        <v>0</v>
      </c>
      <c r="BZ28" s="404">
        <f t="shared" si="9"/>
        <v>0</v>
      </c>
      <c r="CA28" s="404">
        <f t="shared" si="10"/>
        <v>0</v>
      </c>
      <c r="CB28" s="404">
        <f t="shared" si="11"/>
        <v>0</v>
      </c>
      <c r="CC28" s="404">
        <f t="shared" si="12"/>
        <v>0</v>
      </c>
      <c r="CD28" s="404">
        <f t="shared" si="13"/>
        <v>0</v>
      </c>
      <c r="CE28" s="404">
        <f t="shared" si="14"/>
        <v>0</v>
      </c>
      <c r="CF28" s="404">
        <f t="shared" si="15"/>
        <v>0</v>
      </c>
      <c r="CG28" s="404">
        <f t="shared" si="16"/>
        <v>0</v>
      </c>
      <c r="CH28" s="404">
        <f t="shared" si="17"/>
        <v>0</v>
      </c>
      <c r="CI28" s="404">
        <f t="shared" si="18"/>
        <v>0</v>
      </c>
      <c r="CJ28" s="404">
        <f t="shared" si="19"/>
        <v>0</v>
      </c>
      <c r="CK28" s="405">
        <f t="shared" si="20"/>
        <v>0</v>
      </c>
      <c r="CL28" s="403">
        <f t="shared" si="44"/>
        <v>0</v>
      </c>
      <c r="CM28" s="404">
        <f t="shared" si="45"/>
        <v>0</v>
      </c>
      <c r="CN28" s="404">
        <f t="shared" si="46"/>
        <v>0</v>
      </c>
      <c r="CO28" s="404">
        <f t="shared" si="47"/>
        <v>0</v>
      </c>
      <c r="CP28" s="404">
        <f t="shared" si="48"/>
        <v>0</v>
      </c>
      <c r="CQ28" s="404">
        <f t="shared" si="49"/>
        <v>0</v>
      </c>
      <c r="CR28" s="404">
        <f t="shared" si="50"/>
        <v>-7</v>
      </c>
      <c r="CS28" s="404">
        <f t="shared" si="51"/>
        <v>-7</v>
      </c>
      <c r="CT28" s="404">
        <f t="shared" si="52"/>
        <v>-7</v>
      </c>
      <c r="CU28" s="404">
        <f t="shared" si="53"/>
        <v>-7</v>
      </c>
      <c r="CV28" s="404">
        <f t="shared" si="54"/>
        <v>-7</v>
      </c>
      <c r="CW28" s="404">
        <f t="shared" si="55"/>
        <v>-7</v>
      </c>
      <c r="CX28" s="404">
        <f t="shared" si="56"/>
        <v>-7</v>
      </c>
      <c r="CY28" s="404">
        <f t="shared" si="57"/>
        <v>-7</v>
      </c>
      <c r="CZ28" s="404">
        <f t="shared" si="58"/>
        <v>-7</v>
      </c>
      <c r="DA28" s="404">
        <f t="shared" si="59"/>
        <v>-7</v>
      </c>
      <c r="DB28" s="404">
        <f t="shared" si="60"/>
        <v>-7</v>
      </c>
      <c r="DC28" s="404">
        <f t="shared" si="61"/>
        <v>-7</v>
      </c>
      <c r="DD28" s="404">
        <f t="shared" si="62"/>
        <v>-7</v>
      </c>
      <c r="DE28" s="404">
        <f t="shared" si="63"/>
        <v>-7</v>
      </c>
      <c r="DF28" s="405">
        <f t="shared" si="64"/>
        <v>-7</v>
      </c>
      <c r="DG28" s="414" t="str">
        <f t="shared" si="22"/>
        <v>-</v>
      </c>
      <c r="DH28" s="415" t="str">
        <f t="shared" si="23"/>
        <v>-</v>
      </c>
      <c r="DI28" s="415" t="str">
        <f t="shared" si="24"/>
        <v>-</v>
      </c>
      <c r="DJ28" s="415" t="str">
        <f t="shared" si="25"/>
        <v>-</v>
      </c>
      <c r="DK28" s="415" t="str">
        <f t="shared" si="26"/>
        <v>-</v>
      </c>
      <c r="DL28" s="415" t="str">
        <f t="shared" si="27"/>
        <v>-</v>
      </c>
      <c r="DM28" s="415">
        <f t="shared" si="28"/>
        <v>28</v>
      </c>
      <c r="DN28" s="415">
        <f t="shared" si="29"/>
        <v>27</v>
      </c>
      <c r="DO28" s="415">
        <f t="shared" si="30"/>
        <v>26</v>
      </c>
      <c r="DP28" s="415">
        <f t="shared" si="31"/>
        <v>26</v>
      </c>
      <c r="DQ28" s="415">
        <f t="shared" si="32"/>
        <v>25</v>
      </c>
      <c r="DR28" s="415">
        <f t="shared" si="33"/>
        <v>26</v>
      </c>
      <c r="DS28" s="415">
        <f t="shared" si="34"/>
        <v>26</v>
      </c>
      <c r="DT28" s="415">
        <f t="shared" si="35"/>
        <v>26</v>
      </c>
      <c r="DU28" s="415">
        <f t="shared" si="36"/>
        <v>26</v>
      </c>
      <c r="DV28" s="415">
        <f t="shared" si="37"/>
        <v>26</v>
      </c>
      <c r="DW28" s="415">
        <f t="shared" si="38"/>
        <v>27</v>
      </c>
      <c r="DX28" s="415">
        <f t="shared" si="39"/>
        <v>27</v>
      </c>
      <c r="DY28" s="415">
        <f t="shared" si="40"/>
        <v>27</v>
      </c>
      <c r="DZ28" s="415">
        <f t="shared" si="41"/>
        <v>27</v>
      </c>
      <c r="EA28" s="416">
        <f t="shared" si="42"/>
        <v>27</v>
      </c>
    </row>
    <row r="29" spans="1:131" x14ac:dyDescent="0.2">
      <c r="A29" s="119"/>
      <c r="B29" s="157">
        <f t="shared" si="43"/>
        <v>27</v>
      </c>
      <c r="C29" s="158" t="s">
        <v>270</v>
      </c>
      <c r="D29" s="159" t="s">
        <v>190</v>
      </c>
      <c r="E29" s="409">
        <f>IF(ISNA(VLOOKUP($C29,Batting!$B$5:$M$103,3,FALSE)),0,(VLOOKUP($C29,Batting!$B$5:$M$103,3,FALSE)))</f>
        <v>1</v>
      </c>
      <c r="F29" s="403">
        <f>VLOOKUP($C29,Batting!$B$44:$BZ$75,17,0)</f>
        <v>0</v>
      </c>
      <c r="G29" s="404">
        <f>VLOOKUP($C29,Batting!$B$44:$BZ$75,20,0)</f>
        <v>0</v>
      </c>
      <c r="H29" s="404">
        <f>VLOOKUP($C29,Batting!$B$44:$BZ$75,23,0)</f>
        <v>0</v>
      </c>
      <c r="I29" s="404">
        <f>VLOOKUP($C29,Batting!$B$44:$BZ$75,26,0)</f>
        <v>-7</v>
      </c>
      <c r="J29" s="404">
        <f>VLOOKUP($C29,Batting!$B$44:$BZ$75,29,0)</f>
        <v>0</v>
      </c>
      <c r="K29" s="404">
        <f>VLOOKUP($C29,Batting!$B$44:$BZ$75,32,0)</f>
        <v>0</v>
      </c>
      <c r="L29" s="404">
        <f>VLOOKUP($C29,Batting!$B$44:$BZ$75,35,0)</f>
        <v>0</v>
      </c>
      <c r="M29" s="404">
        <f>VLOOKUP($C29,Batting!$B$44:$BZ$75,38,0)</f>
        <v>0</v>
      </c>
      <c r="N29" s="404">
        <f>VLOOKUP($C29,Batting!$B$44:$BZ$75,41,0)</f>
        <v>0</v>
      </c>
      <c r="O29" s="404">
        <f>VLOOKUP($C29,Batting!$B$44:$BZ$75,44,0)</f>
        <v>0</v>
      </c>
      <c r="P29" s="404">
        <f>VLOOKUP($C29,Batting!$B$44:$BZ$75,47,0)</f>
        <v>0</v>
      </c>
      <c r="Q29" s="404">
        <f>VLOOKUP($C29,Batting!$B$44:$BZ$75,50,0)</f>
        <v>0</v>
      </c>
      <c r="R29" s="404">
        <f>VLOOKUP($C29,Batting!$B$44:$BZ$75,53,0)</f>
        <v>0</v>
      </c>
      <c r="S29" s="404">
        <f>VLOOKUP($C29,Batting!$B$44:$BZ$75,56,0)</f>
        <v>0</v>
      </c>
      <c r="T29" s="404">
        <f>VLOOKUP($C29,Batting!$B$44:$BZ$75,59,0)</f>
        <v>0</v>
      </c>
      <c r="U29" s="404">
        <f>VLOOKUP($C29,Batting!$B$44:$BZ$75,62,0)</f>
        <v>0</v>
      </c>
      <c r="V29" s="404">
        <f>VLOOKUP($C29,Batting!$B$44:$BZ$75,65,0)</f>
        <v>0</v>
      </c>
      <c r="W29" s="404">
        <f>VLOOKUP($C29,Batting!$B$44:$BZ$75,68,0)</f>
        <v>0</v>
      </c>
      <c r="X29" s="404">
        <f>VLOOKUP($C29,Batting!$B$44:$BZ$75,71,0)</f>
        <v>0</v>
      </c>
      <c r="Y29" s="404">
        <f>VLOOKUP($C29,Batting!$B$44:$BZ$75,74,0)</f>
        <v>0</v>
      </c>
      <c r="Z29" s="405">
        <f>VLOOKUP($C29,Batting!$B$44:$BZ$75,77,0)</f>
        <v>0</v>
      </c>
      <c r="AA29" s="403">
        <f>_xlfn.IFNA(VLOOKUP($C29,Bowling!$B$39:$DX$66,24,0),0)</f>
        <v>0</v>
      </c>
      <c r="AB29" s="404">
        <f>_xlfn.IFNA(VLOOKUP($C29,Bowling!$B$39:$DX$66,29,0),0)</f>
        <v>0</v>
      </c>
      <c r="AC29" s="404">
        <f>_xlfn.IFNA(VLOOKUP($C29,Bowling!$B$39:$DX$66,34,0),0)</f>
        <v>0</v>
      </c>
      <c r="AD29" s="404">
        <f>_xlfn.IFNA(VLOOKUP($C29,Bowling!$B$39:$DX$66,39,0),0)</f>
        <v>0</v>
      </c>
      <c r="AE29" s="404">
        <f>_xlfn.IFNA(VLOOKUP($C29,Bowling!$B$39:$DX$66,44,0),0)</f>
        <v>0</v>
      </c>
      <c r="AF29" s="404">
        <f>_xlfn.IFNA(VLOOKUP($C29,Bowling!$B$39:$DX$66,49,0),0)</f>
        <v>0</v>
      </c>
      <c r="AG29" s="404">
        <f>_xlfn.IFNA(VLOOKUP($C29,Bowling!$B$39:$DX$66,54,0),0)</f>
        <v>0</v>
      </c>
      <c r="AH29" s="404">
        <f>_xlfn.IFNA(VLOOKUP($C29,Bowling!$B$39:$DX$66,59,0),0)</f>
        <v>0</v>
      </c>
      <c r="AI29" s="404">
        <f>_xlfn.IFNA(VLOOKUP($C29,Bowling!$B$39:$DX$66,64,0),0)</f>
        <v>0</v>
      </c>
      <c r="AJ29" s="404">
        <f>_xlfn.IFNA(VLOOKUP($C29,Bowling!$B$39:$DX$66,69,0),0)</f>
        <v>0</v>
      </c>
      <c r="AK29" s="404">
        <f>_xlfn.IFNA(VLOOKUP($C29,Bowling!$B$39:$DX$66,74,0),0)</f>
        <v>0</v>
      </c>
      <c r="AL29" s="404">
        <f>_xlfn.IFNA(VLOOKUP($C29,Bowling!$B$39:$DX$66,79,0),0)</f>
        <v>0</v>
      </c>
      <c r="AM29" s="404">
        <f>_xlfn.IFNA(VLOOKUP($C29,Bowling!$B$39:$DX$66,84,0),0)</f>
        <v>0</v>
      </c>
      <c r="AN29" s="404">
        <f>_xlfn.IFNA(VLOOKUP($C29,Bowling!$B$39:$DX$66,89,0),0)</f>
        <v>0</v>
      </c>
      <c r="AO29" s="404">
        <f>_xlfn.IFNA(VLOOKUP($C29,Bowling!$B$39:$DX$66,94,0),0)</f>
        <v>0</v>
      </c>
      <c r="AP29" s="404">
        <f>_xlfn.IFNA(VLOOKUP($C29,Bowling!$B$39:$DX$66,99,0),0)</f>
        <v>0</v>
      </c>
      <c r="AQ29" s="404">
        <f>_xlfn.IFNA(VLOOKUP($C29,Bowling!$B$39:$DX$66,104,0),0)</f>
        <v>0</v>
      </c>
      <c r="AR29" s="404">
        <f>_xlfn.IFNA(VLOOKUP($C29,Bowling!$B$39:$DX$66,109,0),0)</f>
        <v>0</v>
      </c>
      <c r="AS29" s="404">
        <f>_xlfn.IFNA(VLOOKUP($C29,Bowling!$B$39:$DX$66,114,0),0)</f>
        <v>0</v>
      </c>
      <c r="AT29" s="404">
        <f>_xlfn.IFNA(VLOOKUP($C29,Bowling!$B$39:$DX$66,119,0),0)</f>
        <v>0</v>
      </c>
      <c r="AU29" s="405">
        <f>_xlfn.IFNA(VLOOKUP($C29,Bowling!$B$39:$DX$66,124,0),0)</f>
        <v>0</v>
      </c>
      <c r="AV29" s="403">
        <f>_xlfn.IFNA(VLOOKUP($C29,Fielding!$B$23:$CN$36,8,0),0)</f>
        <v>0</v>
      </c>
      <c r="AW29" s="404">
        <f>_xlfn.IFNA(VLOOKUP($C29,Fielding!$B$23:$CN$36,12,0),0)</f>
        <v>0</v>
      </c>
      <c r="AX29" s="404">
        <f>_xlfn.IFNA(VLOOKUP($C29,Fielding!$B$23:$CN$36,16,0),0)</f>
        <v>0</v>
      </c>
      <c r="AY29" s="404">
        <f>_xlfn.IFNA(VLOOKUP($C29,Fielding!$B$23:$CN$36,20,0),0)</f>
        <v>0</v>
      </c>
      <c r="AZ29" s="404">
        <f>_xlfn.IFNA(VLOOKUP($C29,Fielding!$B$23:$CN$36,24,0),0)</f>
        <v>0</v>
      </c>
      <c r="BA29" s="404">
        <f>_xlfn.IFNA(VLOOKUP($C29,Fielding!$B$23:$CN$36,28,0),0)</f>
        <v>0</v>
      </c>
      <c r="BB29" s="404">
        <f>_xlfn.IFNA(VLOOKUP($C29,Fielding!$B$23:$CN$36,32,0),0)</f>
        <v>0</v>
      </c>
      <c r="BC29" s="404">
        <f>_xlfn.IFNA(VLOOKUP($C29,Fielding!$B$23:$CN$36,36,0),0)</f>
        <v>0</v>
      </c>
      <c r="BD29" s="404">
        <f>_xlfn.IFNA(VLOOKUP($C29,Fielding!$B$23:$CN$36,40,0),0)</f>
        <v>0</v>
      </c>
      <c r="BE29" s="404">
        <f>_xlfn.IFNA(VLOOKUP($C29,Fielding!$B$23:$CN$36,44,0),0)</f>
        <v>0</v>
      </c>
      <c r="BF29" s="404">
        <f>_xlfn.IFNA(VLOOKUP($C29,Fielding!$B$23:$CN$36,48,0),0)</f>
        <v>0</v>
      </c>
      <c r="BG29" s="404">
        <f>_xlfn.IFNA(VLOOKUP($C29,Fielding!$B$23:$CN$36,52,0),0)</f>
        <v>0</v>
      </c>
      <c r="BH29" s="404">
        <f>_xlfn.IFNA(VLOOKUP($C29,Fielding!$B$23:$CN$36,56,0),0)</f>
        <v>0</v>
      </c>
      <c r="BI29" s="404">
        <f>_xlfn.IFNA(VLOOKUP($C29,Fielding!$B$23:$CN$36,60,0),0)</f>
        <v>0</v>
      </c>
      <c r="BJ29" s="404">
        <f>_xlfn.IFNA(VLOOKUP($C29,Fielding!$B$23:$CN$36,64,0),0)</f>
        <v>0</v>
      </c>
      <c r="BK29" s="404">
        <f>_xlfn.IFNA(VLOOKUP($C29,Fielding!$B$23:$CN$36,68,0),0)</f>
        <v>0</v>
      </c>
      <c r="BL29" s="404">
        <f>_xlfn.IFNA(VLOOKUP($C29,Fielding!$B$23:$CN$36,72,0),0)</f>
        <v>0</v>
      </c>
      <c r="BM29" s="404">
        <f>_xlfn.IFNA(VLOOKUP($C29,Fielding!$B$23:$CN$36,76,0),0)</f>
        <v>0</v>
      </c>
      <c r="BN29" s="404">
        <f>_xlfn.IFNA(VLOOKUP($C29,Fielding!$B$23:$CN$36,80,0),0)</f>
        <v>0</v>
      </c>
      <c r="BO29" s="404">
        <f>_xlfn.IFNA(VLOOKUP($C29,Fielding!$B$23:$CN$36,84,0),0)</f>
        <v>0</v>
      </c>
      <c r="BP29" s="405">
        <f>_xlfn.IFNA(VLOOKUP($C29,Fielding!$B$23:$CN$36,88,0),0)</f>
        <v>0</v>
      </c>
      <c r="BQ29" s="403">
        <f t="shared" si="0"/>
        <v>0</v>
      </c>
      <c r="BR29" s="404">
        <f t="shared" si="1"/>
        <v>0</v>
      </c>
      <c r="BS29" s="404">
        <f t="shared" si="2"/>
        <v>0</v>
      </c>
      <c r="BT29" s="404">
        <f t="shared" si="3"/>
        <v>-7</v>
      </c>
      <c r="BU29" s="404">
        <f t="shared" si="4"/>
        <v>0</v>
      </c>
      <c r="BV29" s="404">
        <f t="shared" si="5"/>
        <v>0</v>
      </c>
      <c r="BW29" s="404">
        <f t="shared" si="6"/>
        <v>0</v>
      </c>
      <c r="BX29" s="404">
        <f t="shared" si="7"/>
        <v>0</v>
      </c>
      <c r="BY29" s="404">
        <f t="shared" si="8"/>
        <v>0</v>
      </c>
      <c r="BZ29" s="404">
        <f t="shared" si="9"/>
        <v>0</v>
      </c>
      <c r="CA29" s="404">
        <f t="shared" si="10"/>
        <v>0</v>
      </c>
      <c r="CB29" s="404">
        <f t="shared" si="11"/>
        <v>0</v>
      </c>
      <c r="CC29" s="404">
        <f t="shared" si="12"/>
        <v>0</v>
      </c>
      <c r="CD29" s="404">
        <f t="shared" si="13"/>
        <v>0</v>
      </c>
      <c r="CE29" s="404">
        <f t="shared" si="14"/>
        <v>0</v>
      </c>
      <c r="CF29" s="404">
        <f t="shared" si="15"/>
        <v>0</v>
      </c>
      <c r="CG29" s="404">
        <f t="shared" si="16"/>
        <v>0</v>
      </c>
      <c r="CH29" s="404">
        <f t="shared" si="17"/>
        <v>0</v>
      </c>
      <c r="CI29" s="404">
        <f t="shared" si="18"/>
        <v>0</v>
      </c>
      <c r="CJ29" s="404">
        <f t="shared" si="19"/>
        <v>0</v>
      </c>
      <c r="CK29" s="405">
        <f t="shared" si="20"/>
        <v>0</v>
      </c>
      <c r="CL29" s="403">
        <f t="shared" si="44"/>
        <v>0</v>
      </c>
      <c r="CM29" s="404">
        <f t="shared" si="45"/>
        <v>0</v>
      </c>
      <c r="CN29" s="404">
        <f t="shared" si="46"/>
        <v>0</v>
      </c>
      <c r="CO29" s="404">
        <f t="shared" si="47"/>
        <v>-7</v>
      </c>
      <c r="CP29" s="404">
        <f t="shared" si="48"/>
        <v>-7</v>
      </c>
      <c r="CQ29" s="404">
        <f t="shared" si="49"/>
        <v>-7</v>
      </c>
      <c r="CR29" s="404">
        <f t="shared" si="50"/>
        <v>-7</v>
      </c>
      <c r="CS29" s="404">
        <f t="shared" si="51"/>
        <v>-7</v>
      </c>
      <c r="CT29" s="404">
        <f t="shared" si="52"/>
        <v>-7</v>
      </c>
      <c r="CU29" s="404">
        <f t="shared" si="53"/>
        <v>-7</v>
      </c>
      <c r="CV29" s="404">
        <f t="shared" si="54"/>
        <v>-7</v>
      </c>
      <c r="CW29" s="404">
        <f t="shared" si="55"/>
        <v>-7</v>
      </c>
      <c r="CX29" s="404">
        <f t="shared" si="56"/>
        <v>-7</v>
      </c>
      <c r="CY29" s="404">
        <f t="shared" si="57"/>
        <v>-7</v>
      </c>
      <c r="CZ29" s="404">
        <f t="shared" si="58"/>
        <v>-7</v>
      </c>
      <c r="DA29" s="404">
        <f t="shared" si="59"/>
        <v>-7</v>
      </c>
      <c r="DB29" s="404">
        <f t="shared" si="60"/>
        <v>-7</v>
      </c>
      <c r="DC29" s="404">
        <f t="shared" si="61"/>
        <v>-7</v>
      </c>
      <c r="DD29" s="404">
        <f t="shared" si="62"/>
        <v>-7</v>
      </c>
      <c r="DE29" s="404">
        <f t="shared" si="63"/>
        <v>-7</v>
      </c>
      <c r="DF29" s="405">
        <f t="shared" si="64"/>
        <v>-7</v>
      </c>
      <c r="DG29" s="414" t="str">
        <f t="shared" si="22"/>
        <v>-</v>
      </c>
      <c r="DH29" s="415" t="str">
        <f t="shared" si="23"/>
        <v>-</v>
      </c>
      <c r="DI29" s="415" t="str">
        <f t="shared" si="24"/>
        <v>-</v>
      </c>
      <c r="DJ29" s="415">
        <f t="shared" si="25"/>
        <v>30</v>
      </c>
      <c r="DK29" s="415">
        <f t="shared" si="26"/>
        <v>29</v>
      </c>
      <c r="DL29" s="415">
        <f t="shared" si="27"/>
        <v>29</v>
      </c>
      <c r="DM29" s="415">
        <f t="shared" si="28"/>
        <v>28</v>
      </c>
      <c r="DN29" s="415">
        <f t="shared" si="29"/>
        <v>27</v>
      </c>
      <c r="DO29" s="415">
        <f t="shared" si="30"/>
        <v>26</v>
      </c>
      <c r="DP29" s="415">
        <f t="shared" si="31"/>
        <v>26</v>
      </c>
      <c r="DQ29" s="415">
        <f t="shared" si="32"/>
        <v>25</v>
      </c>
      <c r="DR29" s="415">
        <f t="shared" si="33"/>
        <v>26</v>
      </c>
      <c r="DS29" s="415">
        <f t="shared" si="34"/>
        <v>26</v>
      </c>
      <c r="DT29" s="415">
        <f t="shared" si="35"/>
        <v>26</v>
      </c>
      <c r="DU29" s="415">
        <f t="shared" si="36"/>
        <v>26</v>
      </c>
      <c r="DV29" s="415">
        <f t="shared" si="37"/>
        <v>26</v>
      </c>
      <c r="DW29" s="415">
        <f t="shared" si="38"/>
        <v>27</v>
      </c>
      <c r="DX29" s="415">
        <f t="shared" si="39"/>
        <v>27</v>
      </c>
      <c r="DY29" s="415">
        <f t="shared" si="40"/>
        <v>27</v>
      </c>
      <c r="DZ29" s="415">
        <f t="shared" si="41"/>
        <v>27</v>
      </c>
      <c r="EA29" s="416">
        <f t="shared" si="42"/>
        <v>27</v>
      </c>
    </row>
    <row r="30" spans="1:131" x14ac:dyDescent="0.2">
      <c r="A30" s="119"/>
      <c r="B30" s="157">
        <f t="shared" si="43"/>
        <v>28</v>
      </c>
      <c r="C30" s="158" t="s">
        <v>277</v>
      </c>
      <c r="D30" s="159" t="s">
        <v>274</v>
      </c>
      <c r="E30" s="409">
        <f>IF(ISNA(VLOOKUP($C30,Batting!$B$5:$M$103,3,FALSE)),0,(VLOOKUP($C30,Batting!$B$5:$M$103,3,FALSE)))</f>
        <v>1</v>
      </c>
      <c r="F30" s="403">
        <f>VLOOKUP($C30,Batting!$B$44:$BZ$75,17,0)</f>
        <v>0</v>
      </c>
      <c r="G30" s="404">
        <f>VLOOKUP($C30,Batting!$B$44:$BZ$75,20,0)</f>
        <v>0</v>
      </c>
      <c r="H30" s="404">
        <f>VLOOKUP($C30,Batting!$B$44:$BZ$75,23,0)</f>
        <v>0</v>
      </c>
      <c r="I30" s="404">
        <f>VLOOKUP($C30,Batting!$B$44:$BZ$75,26,0)</f>
        <v>0</v>
      </c>
      <c r="J30" s="404">
        <f>VLOOKUP($C30,Batting!$B$44:$BZ$75,29,0)</f>
        <v>0</v>
      </c>
      <c r="K30" s="404">
        <f>VLOOKUP($C30,Batting!$B$44:$BZ$75,32,0)</f>
        <v>0</v>
      </c>
      <c r="L30" s="404">
        <f>VLOOKUP($C30,Batting!$B$44:$BZ$75,35,0)</f>
        <v>0</v>
      </c>
      <c r="M30" s="404">
        <f>VLOOKUP($C30,Batting!$B$44:$BZ$75,38,0)</f>
        <v>-5</v>
      </c>
      <c r="N30" s="404">
        <f>VLOOKUP($C30,Batting!$B$44:$BZ$75,41,0)</f>
        <v>0</v>
      </c>
      <c r="O30" s="404">
        <f>VLOOKUP($C30,Batting!$B$44:$BZ$75,44,0)</f>
        <v>0</v>
      </c>
      <c r="P30" s="404">
        <f>VLOOKUP($C30,Batting!$B$44:$BZ$75,47,0)</f>
        <v>0</v>
      </c>
      <c r="Q30" s="404">
        <f>VLOOKUP($C30,Batting!$B$44:$BZ$75,50,0)</f>
        <v>0</v>
      </c>
      <c r="R30" s="404">
        <f>VLOOKUP($C30,Batting!$B$44:$BZ$75,53,0)</f>
        <v>0</v>
      </c>
      <c r="S30" s="404">
        <f>VLOOKUP($C30,Batting!$B$44:$BZ$75,56,0)</f>
        <v>0</v>
      </c>
      <c r="T30" s="404">
        <f>VLOOKUP($C30,Batting!$B$44:$BZ$75,59,0)</f>
        <v>0</v>
      </c>
      <c r="U30" s="404">
        <f>VLOOKUP($C30,Batting!$B$44:$BZ$75,62,0)</f>
        <v>0</v>
      </c>
      <c r="V30" s="404">
        <f>VLOOKUP($C30,Batting!$B$44:$BZ$75,65,0)</f>
        <v>0</v>
      </c>
      <c r="W30" s="404">
        <f>VLOOKUP($C30,Batting!$B$44:$BZ$75,68,0)</f>
        <v>0</v>
      </c>
      <c r="X30" s="404">
        <f>VLOOKUP($C30,Batting!$B$44:$BZ$75,71,0)</f>
        <v>0</v>
      </c>
      <c r="Y30" s="404">
        <f>VLOOKUP($C30,Batting!$B$44:$BZ$75,74,0)</f>
        <v>0</v>
      </c>
      <c r="Z30" s="405">
        <f>VLOOKUP($C30,Batting!$B$44:$BZ$75,77,0)</f>
        <v>0</v>
      </c>
      <c r="AA30" s="403">
        <f>_xlfn.IFNA(VLOOKUP($C30,Bowling!$B$39:$DX$66,24,0),0)</f>
        <v>0</v>
      </c>
      <c r="AB30" s="404">
        <f>_xlfn.IFNA(VLOOKUP($C30,Bowling!$B$39:$DX$66,29,0),0)</f>
        <v>0</v>
      </c>
      <c r="AC30" s="404">
        <f>_xlfn.IFNA(VLOOKUP($C30,Bowling!$B$39:$DX$66,34,0),0)</f>
        <v>0</v>
      </c>
      <c r="AD30" s="404">
        <f>_xlfn.IFNA(VLOOKUP($C30,Bowling!$B$39:$DX$66,39,0),0)</f>
        <v>0</v>
      </c>
      <c r="AE30" s="404">
        <f>_xlfn.IFNA(VLOOKUP($C30,Bowling!$B$39:$DX$66,44,0),0)</f>
        <v>0</v>
      </c>
      <c r="AF30" s="404">
        <f>_xlfn.IFNA(VLOOKUP($C30,Bowling!$B$39:$DX$66,49,0),0)</f>
        <v>0</v>
      </c>
      <c r="AG30" s="404">
        <f>_xlfn.IFNA(VLOOKUP($C30,Bowling!$B$39:$DX$66,54,0),0)</f>
        <v>0</v>
      </c>
      <c r="AH30" s="404">
        <f>_xlfn.IFNA(VLOOKUP($C30,Bowling!$B$39:$DX$66,59,0),0)</f>
        <v>-2.4</v>
      </c>
      <c r="AI30" s="404">
        <f>_xlfn.IFNA(VLOOKUP($C30,Bowling!$B$39:$DX$66,64,0),0)</f>
        <v>0</v>
      </c>
      <c r="AJ30" s="404">
        <f>_xlfn.IFNA(VLOOKUP($C30,Bowling!$B$39:$DX$66,69,0),0)</f>
        <v>0</v>
      </c>
      <c r="AK30" s="404">
        <f>_xlfn.IFNA(VLOOKUP($C30,Bowling!$B$39:$DX$66,74,0),0)</f>
        <v>0</v>
      </c>
      <c r="AL30" s="404">
        <f>_xlfn.IFNA(VLOOKUP($C30,Bowling!$B$39:$DX$66,79,0),0)</f>
        <v>0</v>
      </c>
      <c r="AM30" s="404">
        <f>_xlfn.IFNA(VLOOKUP($C30,Bowling!$B$39:$DX$66,84,0),0)</f>
        <v>0</v>
      </c>
      <c r="AN30" s="404">
        <f>_xlfn.IFNA(VLOOKUP($C30,Bowling!$B$39:$DX$66,89,0),0)</f>
        <v>0</v>
      </c>
      <c r="AO30" s="404">
        <f>_xlfn.IFNA(VLOOKUP($C30,Bowling!$B$39:$DX$66,94,0),0)</f>
        <v>0</v>
      </c>
      <c r="AP30" s="404">
        <f>_xlfn.IFNA(VLOOKUP($C30,Bowling!$B$39:$DX$66,99,0),0)</f>
        <v>0</v>
      </c>
      <c r="AQ30" s="404">
        <f>_xlfn.IFNA(VLOOKUP($C30,Bowling!$B$39:$DX$66,104,0),0)</f>
        <v>0</v>
      </c>
      <c r="AR30" s="404">
        <f>_xlfn.IFNA(VLOOKUP($C30,Bowling!$B$39:$DX$66,109,0),0)</f>
        <v>0</v>
      </c>
      <c r="AS30" s="404">
        <f>_xlfn.IFNA(VLOOKUP($C30,Bowling!$B$39:$DX$66,114,0),0)</f>
        <v>0</v>
      </c>
      <c r="AT30" s="404">
        <f>_xlfn.IFNA(VLOOKUP($C30,Bowling!$B$39:$DX$66,119,0),0)</f>
        <v>0</v>
      </c>
      <c r="AU30" s="405">
        <f>_xlfn.IFNA(VLOOKUP($C30,Bowling!$B$39:$DX$66,124,0),0)</f>
        <v>0</v>
      </c>
      <c r="AV30" s="403">
        <f>_xlfn.IFNA(VLOOKUP($C30,Fielding!$B$23:$CN$36,8,0),0)</f>
        <v>0</v>
      </c>
      <c r="AW30" s="404">
        <f>_xlfn.IFNA(VLOOKUP($C30,Fielding!$B$23:$CN$36,12,0),0)</f>
        <v>0</v>
      </c>
      <c r="AX30" s="404">
        <f>_xlfn.IFNA(VLOOKUP($C30,Fielding!$B$23:$CN$36,16,0),0)</f>
        <v>0</v>
      </c>
      <c r="AY30" s="404">
        <f>_xlfn.IFNA(VLOOKUP($C30,Fielding!$B$23:$CN$36,20,0),0)</f>
        <v>0</v>
      </c>
      <c r="AZ30" s="404">
        <f>_xlfn.IFNA(VLOOKUP($C30,Fielding!$B$23:$CN$36,24,0),0)</f>
        <v>0</v>
      </c>
      <c r="BA30" s="404">
        <f>_xlfn.IFNA(VLOOKUP($C30,Fielding!$B$23:$CN$36,28,0),0)</f>
        <v>0</v>
      </c>
      <c r="BB30" s="404">
        <f>_xlfn.IFNA(VLOOKUP($C30,Fielding!$B$23:$CN$36,32,0),0)</f>
        <v>0</v>
      </c>
      <c r="BC30" s="404">
        <f>_xlfn.IFNA(VLOOKUP($C30,Fielding!$B$23:$CN$36,36,0),0)</f>
        <v>0</v>
      </c>
      <c r="BD30" s="404">
        <f>_xlfn.IFNA(VLOOKUP($C30,Fielding!$B$23:$CN$36,40,0),0)</f>
        <v>0</v>
      </c>
      <c r="BE30" s="404">
        <f>_xlfn.IFNA(VLOOKUP($C30,Fielding!$B$23:$CN$36,44,0),0)</f>
        <v>0</v>
      </c>
      <c r="BF30" s="404">
        <f>_xlfn.IFNA(VLOOKUP($C30,Fielding!$B$23:$CN$36,48,0),0)</f>
        <v>0</v>
      </c>
      <c r="BG30" s="404">
        <f>_xlfn.IFNA(VLOOKUP($C30,Fielding!$B$23:$CN$36,52,0),0)</f>
        <v>0</v>
      </c>
      <c r="BH30" s="404">
        <f>_xlfn.IFNA(VLOOKUP($C30,Fielding!$B$23:$CN$36,56,0),0)</f>
        <v>0</v>
      </c>
      <c r="BI30" s="404">
        <f>_xlfn.IFNA(VLOOKUP($C30,Fielding!$B$23:$CN$36,60,0),0)</f>
        <v>0</v>
      </c>
      <c r="BJ30" s="404">
        <f>_xlfn.IFNA(VLOOKUP($C30,Fielding!$B$23:$CN$36,64,0),0)</f>
        <v>0</v>
      </c>
      <c r="BK30" s="404">
        <f>_xlfn.IFNA(VLOOKUP($C30,Fielding!$B$23:$CN$36,68,0),0)</f>
        <v>0</v>
      </c>
      <c r="BL30" s="404">
        <f>_xlfn.IFNA(VLOOKUP($C30,Fielding!$B$23:$CN$36,72,0),0)</f>
        <v>0</v>
      </c>
      <c r="BM30" s="404">
        <f>_xlfn.IFNA(VLOOKUP($C30,Fielding!$B$23:$CN$36,76,0),0)</f>
        <v>0</v>
      </c>
      <c r="BN30" s="404">
        <f>_xlfn.IFNA(VLOOKUP($C30,Fielding!$B$23:$CN$36,80,0),0)</f>
        <v>0</v>
      </c>
      <c r="BO30" s="404">
        <f>_xlfn.IFNA(VLOOKUP($C30,Fielding!$B$23:$CN$36,84,0),0)</f>
        <v>0</v>
      </c>
      <c r="BP30" s="405">
        <f>_xlfn.IFNA(VLOOKUP($C30,Fielding!$B$23:$CN$36,88,0),0)</f>
        <v>0</v>
      </c>
      <c r="BQ30" s="403">
        <f t="shared" si="0"/>
        <v>0</v>
      </c>
      <c r="BR30" s="404">
        <f t="shared" si="1"/>
        <v>0</v>
      </c>
      <c r="BS30" s="404">
        <f t="shared" si="2"/>
        <v>0</v>
      </c>
      <c r="BT30" s="404">
        <f t="shared" si="3"/>
        <v>0</v>
      </c>
      <c r="BU30" s="404">
        <f t="shared" si="4"/>
        <v>0</v>
      </c>
      <c r="BV30" s="404">
        <f t="shared" si="5"/>
        <v>0</v>
      </c>
      <c r="BW30" s="404">
        <f t="shared" si="6"/>
        <v>0</v>
      </c>
      <c r="BX30" s="404">
        <f t="shared" si="7"/>
        <v>-7.4</v>
      </c>
      <c r="BY30" s="404">
        <f t="shared" si="8"/>
        <v>0</v>
      </c>
      <c r="BZ30" s="404">
        <f t="shared" si="9"/>
        <v>0</v>
      </c>
      <c r="CA30" s="404">
        <f t="shared" si="10"/>
        <v>0</v>
      </c>
      <c r="CB30" s="404">
        <f t="shared" si="11"/>
        <v>0</v>
      </c>
      <c r="CC30" s="404">
        <f t="shared" si="12"/>
        <v>0</v>
      </c>
      <c r="CD30" s="404">
        <f t="shared" si="13"/>
        <v>0</v>
      </c>
      <c r="CE30" s="404">
        <f t="shared" si="14"/>
        <v>0</v>
      </c>
      <c r="CF30" s="404">
        <f t="shared" si="15"/>
        <v>0</v>
      </c>
      <c r="CG30" s="404">
        <f t="shared" si="16"/>
        <v>0</v>
      </c>
      <c r="CH30" s="404">
        <f t="shared" si="17"/>
        <v>0</v>
      </c>
      <c r="CI30" s="404">
        <f t="shared" si="18"/>
        <v>0</v>
      </c>
      <c r="CJ30" s="404">
        <f t="shared" si="19"/>
        <v>0</v>
      </c>
      <c r="CK30" s="405">
        <f t="shared" si="20"/>
        <v>0</v>
      </c>
      <c r="CL30" s="403">
        <f t="shared" si="44"/>
        <v>0</v>
      </c>
      <c r="CM30" s="404">
        <f t="shared" si="45"/>
        <v>0</v>
      </c>
      <c r="CN30" s="404">
        <f t="shared" si="46"/>
        <v>0</v>
      </c>
      <c r="CO30" s="404">
        <f t="shared" si="47"/>
        <v>0</v>
      </c>
      <c r="CP30" s="404">
        <f t="shared" si="48"/>
        <v>0</v>
      </c>
      <c r="CQ30" s="404">
        <f t="shared" si="49"/>
        <v>0</v>
      </c>
      <c r="CR30" s="404">
        <f t="shared" si="50"/>
        <v>0</v>
      </c>
      <c r="CS30" s="404">
        <f t="shared" si="51"/>
        <v>-7.4</v>
      </c>
      <c r="CT30" s="404">
        <f t="shared" si="52"/>
        <v>-7.4</v>
      </c>
      <c r="CU30" s="404">
        <f t="shared" si="53"/>
        <v>-7.4</v>
      </c>
      <c r="CV30" s="404">
        <f t="shared" si="54"/>
        <v>-7.4</v>
      </c>
      <c r="CW30" s="404">
        <f t="shared" si="55"/>
        <v>-7.4</v>
      </c>
      <c r="CX30" s="404">
        <f t="shared" si="56"/>
        <v>-7.4</v>
      </c>
      <c r="CY30" s="404">
        <f t="shared" si="57"/>
        <v>-7.4</v>
      </c>
      <c r="CZ30" s="404">
        <f t="shared" si="58"/>
        <v>-7.4</v>
      </c>
      <c r="DA30" s="404">
        <f t="shared" si="59"/>
        <v>-7.4</v>
      </c>
      <c r="DB30" s="404">
        <f t="shared" si="60"/>
        <v>-7.4</v>
      </c>
      <c r="DC30" s="404">
        <f t="shared" si="61"/>
        <v>-7.4</v>
      </c>
      <c r="DD30" s="404">
        <f t="shared" si="62"/>
        <v>-7.4</v>
      </c>
      <c r="DE30" s="404">
        <f t="shared" si="63"/>
        <v>-7.4</v>
      </c>
      <c r="DF30" s="405">
        <f t="shared" si="64"/>
        <v>-7.4</v>
      </c>
      <c r="DG30" s="414" t="str">
        <f t="shared" si="22"/>
        <v>-</v>
      </c>
      <c r="DH30" s="415" t="str">
        <f t="shared" si="23"/>
        <v>-</v>
      </c>
      <c r="DI30" s="415" t="str">
        <f t="shared" si="24"/>
        <v>-</v>
      </c>
      <c r="DJ30" s="415" t="str">
        <f t="shared" si="25"/>
        <v>-</v>
      </c>
      <c r="DK30" s="415" t="str">
        <f t="shared" si="26"/>
        <v>-</v>
      </c>
      <c r="DL30" s="415" t="str">
        <f t="shared" si="27"/>
        <v>-</v>
      </c>
      <c r="DM30" s="415" t="str">
        <f t="shared" si="28"/>
        <v>-</v>
      </c>
      <c r="DN30" s="415">
        <f t="shared" si="29"/>
        <v>29</v>
      </c>
      <c r="DO30" s="415">
        <f t="shared" si="30"/>
        <v>28</v>
      </c>
      <c r="DP30" s="415">
        <f t="shared" si="31"/>
        <v>28</v>
      </c>
      <c r="DQ30" s="415">
        <f t="shared" si="32"/>
        <v>27</v>
      </c>
      <c r="DR30" s="415">
        <f t="shared" si="33"/>
        <v>28</v>
      </c>
      <c r="DS30" s="415">
        <f t="shared" si="34"/>
        <v>28</v>
      </c>
      <c r="DT30" s="415">
        <f t="shared" si="35"/>
        <v>28</v>
      </c>
      <c r="DU30" s="415">
        <f t="shared" si="36"/>
        <v>28</v>
      </c>
      <c r="DV30" s="415">
        <f t="shared" si="37"/>
        <v>28</v>
      </c>
      <c r="DW30" s="415">
        <f t="shared" si="38"/>
        <v>29</v>
      </c>
      <c r="DX30" s="415">
        <f t="shared" si="39"/>
        <v>29</v>
      </c>
      <c r="DY30" s="415">
        <f t="shared" si="40"/>
        <v>29</v>
      </c>
      <c r="DZ30" s="415">
        <f t="shared" si="41"/>
        <v>29</v>
      </c>
      <c r="EA30" s="416">
        <f t="shared" si="42"/>
        <v>29</v>
      </c>
    </row>
    <row r="31" spans="1:131" x14ac:dyDescent="0.2">
      <c r="A31" s="119"/>
      <c r="B31" s="157">
        <f t="shared" si="43"/>
        <v>29</v>
      </c>
      <c r="C31" s="158" t="s">
        <v>268</v>
      </c>
      <c r="D31" s="159" t="s">
        <v>189</v>
      </c>
      <c r="E31" s="409">
        <f>IF(ISNA(VLOOKUP($C31,Batting!$B$5:$M$103,3,FALSE)),0,(VLOOKUP($C31,Batting!$B$5:$M$103,3,FALSE)))</f>
        <v>2</v>
      </c>
      <c r="F31" s="403">
        <f>VLOOKUP($C31,Batting!$B$44:$BZ$75,17,0)</f>
        <v>0</v>
      </c>
      <c r="G31" s="404">
        <f>VLOOKUP($C31,Batting!$B$44:$BZ$75,20,0)</f>
        <v>0</v>
      </c>
      <c r="H31" s="404">
        <f>VLOOKUP($C31,Batting!$B$44:$BZ$75,23,0)</f>
        <v>-3</v>
      </c>
      <c r="I31" s="404">
        <f>VLOOKUP($C31,Batting!$B$44:$BZ$75,26,0)</f>
        <v>-5</v>
      </c>
      <c r="J31" s="404">
        <f>VLOOKUP($C31,Batting!$B$44:$BZ$75,29,0)</f>
        <v>0</v>
      </c>
      <c r="K31" s="404">
        <f>VLOOKUP($C31,Batting!$B$44:$BZ$75,32,0)</f>
        <v>0</v>
      </c>
      <c r="L31" s="404">
        <f>VLOOKUP($C31,Batting!$B$44:$BZ$75,35,0)</f>
        <v>0</v>
      </c>
      <c r="M31" s="404">
        <f>VLOOKUP($C31,Batting!$B$44:$BZ$75,38,0)</f>
        <v>0</v>
      </c>
      <c r="N31" s="404">
        <f>VLOOKUP($C31,Batting!$B$44:$BZ$75,41,0)</f>
        <v>0</v>
      </c>
      <c r="O31" s="404">
        <f>VLOOKUP($C31,Batting!$B$44:$BZ$75,44,0)</f>
        <v>0</v>
      </c>
      <c r="P31" s="404">
        <f>VLOOKUP($C31,Batting!$B$44:$BZ$75,47,0)</f>
        <v>0</v>
      </c>
      <c r="Q31" s="404">
        <f>VLOOKUP($C31,Batting!$B$44:$BZ$75,50,0)</f>
        <v>0</v>
      </c>
      <c r="R31" s="404">
        <f>VLOOKUP($C31,Batting!$B$44:$BZ$75,53,0)</f>
        <v>0</v>
      </c>
      <c r="S31" s="404">
        <f>VLOOKUP($C31,Batting!$B$44:$BZ$75,56,0)</f>
        <v>0</v>
      </c>
      <c r="T31" s="404">
        <f>VLOOKUP($C31,Batting!$B$44:$BZ$75,59,0)</f>
        <v>0</v>
      </c>
      <c r="U31" s="404">
        <f>VLOOKUP($C31,Batting!$B$44:$BZ$75,62,0)</f>
        <v>0</v>
      </c>
      <c r="V31" s="404">
        <f>VLOOKUP($C31,Batting!$B$44:$BZ$75,65,0)</f>
        <v>0</v>
      </c>
      <c r="W31" s="404">
        <f>VLOOKUP($C31,Batting!$B$44:$BZ$75,68,0)</f>
        <v>0</v>
      </c>
      <c r="X31" s="404">
        <f>VLOOKUP($C31,Batting!$B$44:$BZ$75,71,0)</f>
        <v>0</v>
      </c>
      <c r="Y31" s="404">
        <f>VLOOKUP($C31,Batting!$B$44:$BZ$75,74,0)</f>
        <v>0</v>
      </c>
      <c r="Z31" s="405">
        <f>VLOOKUP($C31,Batting!$B$44:$BZ$75,77,0)</f>
        <v>0</v>
      </c>
      <c r="AA31" s="403">
        <f>_xlfn.IFNA(VLOOKUP($C31,Bowling!$B$39:$DX$66,24,0),0)</f>
        <v>0</v>
      </c>
      <c r="AB31" s="404">
        <f>_xlfn.IFNA(VLOOKUP($C31,Bowling!$B$39:$DX$66,29,0),0)</f>
        <v>0</v>
      </c>
      <c r="AC31" s="404">
        <f>_xlfn.IFNA(VLOOKUP($C31,Bowling!$B$39:$DX$66,34,0),0)</f>
        <v>0</v>
      </c>
      <c r="AD31" s="404">
        <f>_xlfn.IFNA(VLOOKUP($C31,Bowling!$B$39:$DX$66,39,0),0)</f>
        <v>-8.8000000000000007</v>
      </c>
      <c r="AE31" s="404">
        <f>_xlfn.IFNA(VLOOKUP($C31,Bowling!$B$39:$DX$66,44,0),0)</f>
        <v>0</v>
      </c>
      <c r="AF31" s="404">
        <f>_xlfn.IFNA(VLOOKUP($C31,Bowling!$B$39:$DX$66,49,0),0)</f>
        <v>0</v>
      </c>
      <c r="AG31" s="404">
        <f>_xlfn.IFNA(VLOOKUP($C31,Bowling!$B$39:$DX$66,54,0),0)</f>
        <v>0</v>
      </c>
      <c r="AH31" s="404">
        <f>_xlfn.IFNA(VLOOKUP($C31,Bowling!$B$39:$DX$66,59,0),0)</f>
        <v>0</v>
      </c>
      <c r="AI31" s="404">
        <f>_xlfn.IFNA(VLOOKUP($C31,Bowling!$B$39:$DX$66,64,0),0)</f>
        <v>0</v>
      </c>
      <c r="AJ31" s="404">
        <f>_xlfn.IFNA(VLOOKUP($C31,Bowling!$B$39:$DX$66,69,0),0)</f>
        <v>0</v>
      </c>
      <c r="AK31" s="404">
        <f>_xlfn.IFNA(VLOOKUP($C31,Bowling!$B$39:$DX$66,74,0),0)</f>
        <v>0</v>
      </c>
      <c r="AL31" s="404">
        <f>_xlfn.IFNA(VLOOKUP($C31,Bowling!$B$39:$DX$66,79,0),0)</f>
        <v>0</v>
      </c>
      <c r="AM31" s="404">
        <f>_xlfn.IFNA(VLOOKUP($C31,Bowling!$B$39:$DX$66,84,0),0)</f>
        <v>0</v>
      </c>
      <c r="AN31" s="404">
        <f>_xlfn.IFNA(VLOOKUP($C31,Bowling!$B$39:$DX$66,89,0),0)</f>
        <v>0</v>
      </c>
      <c r="AO31" s="404">
        <f>_xlfn.IFNA(VLOOKUP($C31,Bowling!$B$39:$DX$66,94,0),0)</f>
        <v>0</v>
      </c>
      <c r="AP31" s="404">
        <f>_xlfn.IFNA(VLOOKUP($C31,Bowling!$B$39:$DX$66,99,0),0)</f>
        <v>0</v>
      </c>
      <c r="AQ31" s="404">
        <f>_xlfn.IFNA(VLOOKUP($C31,Bowling!$B$39:$DX$66,104,0),0)</f>
        <v>0</v>
      </c>
      <c r="AR31" s="404">
        <f>_xlfn.IFNA(VLOOKUP($C31,Bowling!$B$39:$DX$66,109,0),0)</f>
        <v>0</v>
      </c>
      <c r="AS31" s="404">
        <f>_xlfn.IFNA(VLOOKUP($C31,Bowling!$B$39:$DX$66,114,0),0)</f>
        <v>0</v>
      </c>
      <c r="AT31" s="404">
        <f>_xlfn.IFNA(VLOOKUP($C31,Bowling!$B$39:$DX$66,119,0),0)</f>
        <v>0</v>
      </c>
      <c r="AU31" s="405">
        <f>_xlfn.IFNA(VLOOKUP($C31,Bowling!$B$39:$DX$66,124,0),0)</f>
        <v>0</v>
      </c>
      <c r="AV31" s="403">
        <f>_xlfn.IFNA(VLOOKUP($C31,Fielding!$B$23:$CN$36,8,0),0)</f>
        <v>0</v>
      </c>
      <c r="AW31" s="404">
        <f>_xlfn.IFNA(VLOOKUP($C31,Fielding!$B$23:$CN$36,12,0),0)</f>
        <v>0</v>
      </c>
      <c r="AX31" s="404">
        <f>_xlfn.IFNA(VLOOKUP($C31,Fielding!$B$23:$CN$36,16,0),0)</f>
        <v>0</v>
      </c>
      <c r="AY31" s="404">
        <f>_xlfn.IFNA(VLOOKUP($C31,Fielding!$B$23:$CN$36,20,0),0)</f>
        <v>0</v>
      </c>
      <c r="AZ31" s="404">
        <f>_xlfn.IFNA(VLOOKUP($C31,Fielding!$B$23:$CN$36,24,0),0)</f>
        <v>0</v>
      </c>
      <c r="BA31" s="404">
        <f>_xlfn.IFNA(VLOOKUP($C31,Fielding!$B$23:$CN$36,28,0),0)</f>
        <v>0</v>
      </c>
      <c r="BB31" s="404">
        <f>_xlfn.IFNA(VLOOKUP($C31,Fielding!$B$23:$CN$36,32,0),0)</f>
        <v>0</v>
      </c>
      <c r="BC31" s="404">
        <f>_xlfn.IFNA(VLOOKUP($C31,Fielding!$B$23:$CN$36,36,0),0)</f>
        <v>0</v>
      </c>
      <c r="BD31" s="404">
        <f>_xlfn.IFNA(VLOOKUP($C31,Fielding!$B$23:$CN$36,40,0),0)</f>
        <v>0</v>
      </c>
      <c r="BE31" s="404">
        <f>_xlfn.IFNA(VLOOKUP($C31,Fielding!$B$23:$CN$36,44,0),0)</f>
        <v>0</v>
      </c>
      <c r="BF31" s="404">
        <f>_xlfn.IFNA(VLOOKUP($C31,Fielding!$B$23:$CN$36,48,0),0)</f>
        <v>0</v>
      </c>
      <c r="BG31" s="404">
        <f>_xlfn.IFNA(VLOOKUP($C31,Fielding!$B$23:$CN$36,52,0),0)</f>
        <v>0</v>
      </c>
      <c r="BH31" s="404">
        <f>_xlfn.IFNA(VLOOKUP($C31,Fielding!$B$23:$CN$36,56,0),0)</f>
        <v>0</v>
      </c>
      <c r="BI31" s="404">
        <f>_xlfn.IFNA(VLOOKUP($C31,Fielding!$B$23:$CN$36,60,0),0)</f>
        <v>0</v>
      </c>
      <c r="BJ31" s="404">
        <f>_xlfn.IFNA(VLOOKUP($C31,Fielding!$B$23:$CN$36,64,0),0)</f>
        <v>0</v>
      </c>
      <c r="BK31" s="404">
        <f>_xlfn.IFNA(VLOOKUP($C31,Fielding!$B$23:$CN$36,68,0),0)</f>
        <v>0</v>
      </c>
      <c r="BL31" s="404">
        <f>_xlfn.IFNA(VLOOKUP($C31,Fielding!$B$23:$CN$36,72,0),0)</f>
        <v>0</v>
      </c>
      <c r="BM31" s="404">
        <f>_xlfn.IFNA(VLOOKUP($C31,Fielding!$B$23:$CN$36,76,0),0)</f>
        <v>0</v>
      </c>
      <c r="BN31" s="404">
        <f>_xlfn.IFNA(VLOOKUP($C31,Fielding!$B$23:$CN$36,80,0),0)</f>
        <v>0</v>
      </c>
      <c r="BO31" s="404">
        <f>_xlfn.IFNA(VLOOKUP($C31,Fielding!$B$23:$CN$36,84,0),0)</f>
        <v>0</v>
      </c>
      <c r="BP31" s="405">
        <f>_xlfn.IFNA(VLOOKUP($C31,Fielding!$B$23:$CN$36,88,0),0)</f>
        <v>0</v>
      </c>
      <c r="BQ31" s="403">
        <f t="shared" si="0"/>
        <v>0</v>
      </c>
      <c r="BR31" s="404">
        <f t="shared" si="1"/>
        <v>0</v>
      </c>
      <c r="BS31" s="404">
        <f t="shared" si="2"/>
        <v>-3</v>
      </c>
      <c r="BT31" s="404">
        <f t="shared" si="3"/>
        <v>-13.8</v>
      </c>
      <c r="BU31" s="404">
        <f t="shared" si="4"/>
        <v>0</v>
      </c>
      <c r="BV31" s="404">
        <f t="shared" si="5"/>
        <v>0</v>
      </c>
      <c r="BW31" s="404">
        <f t="shared" si="6"/>
        <v>0</v>
      </c>
      <c r="BX31" s="404">
        <f t="shared" si="7"/>
        <v>0</v>
      </c>
      <c r="BY31" s="404">
        <f t="shared" si="8"/>
        <v>0</v>
      </c>
      <c r="BZ31" s="404">
        <f t="shared" si="9"/>
        <v>0</v>
      </c>
      <c r="CA31" s="404">
        <f t="shared" si="10"/>
        <v>0</v>
      </c>
      <c r="CB31" s="404">
        <f t="shared" si="11"/>
        <v>0</v>
      </c>
      <c r="CC31" s="404">
        <f t="shared" si="12"/>
        <v>0</v>
      </c>
      <c r="CD31" s="404">
        <f t="shared" si="13"/>
        <v>0</v>
      </c>
      <c r="CE31" s="404">
        <f t="shared" si="14"/>
        <v>0</v>
      </c>
      <c r="CF31" s="404">
        <f t="shared" si="15"/>
        <v>0</v>
      </c>
      <c r="CG31" s="404">
        <f t="shared" si="16"/>
        <v>0</v>
      </c>
      <c r="CH31" s="404">
        <f t="shared" si="17"/>
        <v>0</v>
      </c>
      <c r="CI31" s="404">
        <f t="shared" si="18"/>
        <v>0</v>
      </c>
      <c r="CJ31" s="404">
        <f t="shared" si="19"/>
        <v>0</v>
      </c>
      <c r="CK31" s="405">
        <f t="shared" si="20"/>
        <v>0</v>
      </c>
      <c r="CL31" s="403">
        <f t="shared" si="44"/>
        <v>0</v>
      </c>
      <c r="CM31" s="404">
        <f t="shared" si="45"/>
        <v>0</v>
      </c>
      <c r="CN31" s="404">
        <f t="shared" si="46"/>
        <v>-3</v>
      </c>
      <c r="CO31" s="404">
        <f t="shared" si="47"/>
        <v>-16.8</v>
      </c>
      <c r="CP31" s="404">
        <f t="shared" si="48"/>
        <v>-16.8</v>
      </c>
      <c r="CQ31" s="404">
        <f t="shared" si="49"/>
        <v>-16.8</v>
      </c>
      <c r="CR31" s="404">
        <f t="shared" si="50"/>
        <v>-16.8</v>
      </c>
      <c r="CS31" s="404">
        <f t="shared" si="51"/>
        <v>-16.8</v>
      </c>
      <c r="CT31" s="404">
        <f t="shared" si="52"/>
        <v>-16.8</v>
      </c>
      <c r="CU31" s="404">
        <f t="shared" si="53"/>
        <v>-16.8</v>
      </c>
      <c r="CV31" s="404">
        <f t="shared" si="54"/>
        <v>-16.8</v>
      </c>
      <c r="CW31" s="404">
        <f t="shared" si="55"/>
        <v>-16.8</v>
      </c>
      <c r="CX31" s="404">
        <f t="shared" si="56"/>
        <v>-16.8</v>
      </c>
      <c r="CY31" s="404">
        <f t="shared" si="57"/>
        <v>-16.8</v>
      </c>
      <c r="CZ31" s="404">
        <f t="shared" si="58"/>
        <v>-16.8</v>
      </c>
      <c r="DA31" s="404">
        <f t="shared" si="59"/>
        <v>-16.8</v>
      </c>
      <c r="DB31" s="404">
        <f t="shared" si="60"/>
        <v>-16.8</v>
      </c>
      <c r="DC31" s="404">
        <f t="shared" si="61"/>
        <v>-16.8</v>
      </c>
      <c r="DD31" s="404">
        <f t="shared" si="62"/>
        <v>-16.8</v>
      </c>
      <c r="DE31" s="404">
        <f t="shared" si="63"/>
        <v>-16.8</v>
      </c>
      <c r="DF31" s="405">
        <f t="shared" si="64"/>
        <v>-16.8</v>
      </c>
      <c r="DG31" s="414" t="str">
        <f t="shared" si="22"/>
        <v>-</v>
      </c>
      <c r="DH31" s="415" t="str">
        <f t="shared" si="23"/>
        <v>-</v>
      </c>
      <c r="DI31" s="415">
        <f t="shared" si="24"/>
        <v>32</v>
      </c>
      <c r="DJ31" s="415">
        <f t="shared" si="25"/>
        <v>32</v>
      </c>
      <c r="DK31" s="415">
        <f t="shared" si="26"/>
        <v>31</v>
      </c>
      <c r="DL31" s="415">
        <f t="shared" si="27"/>
        <v>31</v>
      </c>
      <c r="DM31" s="415">
        <f t="shared" si="28"/>
        <v>31</v>
      </c>
      <c r="DN31" s="415">
        <f t="shared" si="29"/>
        <v>31</v>
      </c>
      <c r="DO31" s="415">
        <f t="shared" si="30"/>
        <v>31</v>
      </c>
      <c r="DP31" s="415">
        <f t="shared" si="31"/>
        <v>31</v>
      </c>
      <c r="DQ31" s="415">
        <f t="shared" si="32"/>
        <v>31</v>
      </c>
      <c r="DR31" s="415">
        <f t="shared" si="33"/>
        <v>31</v>
      </c>
      <c r="DS31" s="415">
        <f t="shared" si="34"/>
        <v>31</v>
      </c>
      <c r="DT31" s="415">
        <f t="shared" si="35"/>
        <v>31</v>
      </c>
      <c r="DU31" s="415">
        <f t="shared" si="36"/>
        <v>31</v>
      </c>
      <c r="DV31" s="415">
        <f t="shared" si="37"/>
        <v>31</v>
      </c>
      <c r="DW31" s="415">
        <f t="shared" si="38"/>
        <v>31</v>
      </c>
      <c r="DX31" s="415">
        <f t="shared" si="39"/>
        <v>31</v>
      </c>
      <c r="DY31" s="415">
        <f t="shared" si="40"/>
        <v>30</v>
      </c>
      <c r="DZ31" s="415">
        <f t="shared" si="41"/>
        <v>30</v>
      </c>
      <c r="EA31" s="416">
        <f t="shared" si="42"/>
        <v>30</v>
      </c>
    </row>
    <row r="32" spans="1:131" x14ac:dyDescent="0.2">
      <c r="A32" s="119"/>
      <c r="B32" s="157">
        <f t="shared" si="43"/>
        <v>30</v>
      </c>
      <c r="C32" s="158" t="s">
        <v>186</v>
      </c>
      <c r="D32" s="159" t="s">
        <v>189</v>
      </c>
      <c r="E32" s="409">
        <f>IF(ISNA(VLOOKUP($C32,Batting!$B$5:$M$103,3,FALSE)),0,(VLOOKUP($C32,Batting!$B$5:$M$103,3,FALSE)))</f>
        <v>3</v>
      </c>
      <c r="F32" s="403">
        <f>VLOOKUP($C32,Batting!$B$44:$BZ$75,17,0)</f>
        <v>0</v>
      </c>
      <c r="G32" s="404">
        <f>VLOOKUP($C32,Batting!$B$44:$BZ$75,20,0)</f>
        <v>0</v>
      </c>
      <c r="H32" s="404">
        <f>VLOOKUP($C32,Batting!$B$44:$BZ$75,23,0)</f>
        <v>0</v>
      </c>
      <c r="I32" s="404">
        <f>VLOOKUP($C32,Batting!$B$44:$BZ$75,26,0)</f>
        <v>0</v>
      </c>
      <c r="J32" s="404">
        <f>VLOOKUP($C32,Batting!$B$44:$BZ$75,29,0)</f>
        <v>0</v>
      </c>
      <c r="K32" s="404">
        <f>VLOOKUP($C32,Batting!$B$44:$BZ$75,32,0)</f>
        <v>0</v>
      </c>
      <c r="L32" s="404">
        <f>VLOOKUP($C32,Batting!$B$44:$BZ$75,35,0)</f>
        <v>0</v>
      </c>
      <c r="M32" s="404">
        <f>VLOOKUP($C32,Batting!$B$44:$BZ$75,38,0)</f>
        <v>-7</v>
      </c>
      <c r="N32" s="404">
        <f>VLOOKUP($C32,Batting!$B$44:$BZ$75,41,0)</f>
        <v>0</v>
      </c>
      <c r="O32" s="404">
        <f>VLOOKUP($C32,Batting!$B$44:$BZ$75,44,0)</f>
        <v>0</v>
      </c>
      <c r="P32" s="404">
        <f>VLOOKUP($C32,Batting!$B$44:$BZ$75,47,0)</f>
        <v>0</v>
      </c>
      <c r="Q32" s="404">
        <f>VLOOKUP($C32,Batting!$B$44:$BZ$75,50,0)</f>
        <v>0</v>
      </c>
      <c r="R32" s="404">
        <f>VLOOKUP($C32,Batting!$B$44:$BZ$75,53,0)</f>
        <v>0</v>
      </c>
      <c r="S32" s="404">
        <f>VLOOKUP($C32,Batting!$B$44:$BZ$75,56,0)</f>
        <v>0</v>
      </c>
      <c r="T32" s="404">
        <f>VLOOKUP($C32,Batting!$B$44:$BZ$75,59,0)</f>
        <v>0</v>
      </c>
      <c r="U32" s="404">
        <f>VLOOKUP($C32,Batting!$B$44:$BZ$75,62,0)</f>
        <v>0</v>
      </c>
      <c r="V32" s="404">
        <f>VLOOKUP($C32,Batting!$B$44:$BZ$75,65,0)</f>
        <v>0</v>
      </c>
      <c r="W32" s="404">
        <f>VLOOKUP($C32,Batting!$B$44:$BZ$75,68,0)</f>
        <v>33</v>
      </c>
      <c r="X32" s="404">
        <f>VLOOKUP($C32,Batting!$B$44:$BZ$75,71,0)</f>
        <v>-5</v>
      </c>
      <c r="Y32" s="404">
        <f>VLOOKUP($C32,Batting!$B$44:$BZ$75,74,0)</f>
        <v>0</v>
      </c>
      <c r="Z32" s="405">
        <f>VLOOKUP($C32,Batting!$B$44:$BZ$75,77,0)</f>
        <v>0</v>
      </c>
      <c r="AA32" s="403">
        <f>_xlfn.IFNA(VLOOKUP($C32,Bowling!$B$39:$DX$66,24,0),0)</f>
        <v>0</v>
      </c>
      <c r="AB32" s="404">
        <f>_xlfn.IFNA(VLOOKUP($C32,Bowling!$B$39:$DX$66,29,0),0)</f>
        <v>0</v>
      </c>
      <c r="AC32" s="404">
        <f>_xlfn.IFNA(VLOOKUP($C32,Bowling!$B$39:$DX$66,34,0),0)</f>
        <v>0</v>
      </c>
      <c r="AD32" s="404">
        <f>_xlfn.IFNA(VLOOKUP($C32,Bowling!$B$39:$DX$66,39,0),0)</f>
        <v>0</v>
      </c>
      <c r="AE32" s="404">
        <f>_xlfn.IFNA(VLOOKUP($C32,Bowling!$B$39:$DX$66,44,0),0)</f>
        <v>0</v>
      </c>
      <c r="AF32" s="404">
        <f>_xlfn.IFNA(VLOOKUP($C32,Bowling!$B$39:$DX$66,49,0),0)</f>
        <v>0</v>
      </c>
      <c r="AG32" s="404">
        <f>_xlfn.IFNA(VLOOKUP($C32,Bowling!$B$39:$DX$66,54,0),0)</f>
        <v>0</v>
      </c>
      <c r="AH32" s="404">
        <f>_xlfn.IFNA(VLOOKUP($C32,Bowling!$B$39:$DX$66,59,0),0)</f>
        <v>-2</v>
      </c>
      <c r="AI32" s="404">
        <f>_xlfn.IFNA(VLOOKUP($C32,Bowling!$B$39:$DX$66,64,0),0)</f>
        <v>0</v>
      </c>
      <c r="AJ32" s="404">
        <f>_xlfn.IFNA(VLOOKUP($C32,Bowling!$B$39:$DX$66,69,0),0)</f>
        <v>0</v>
      </c>
      <c r="AK32" s="404">
        <f>_xlfn.IFNA(VLOOKUP($C32,Bowling!$B$39:$DX$66,74,0),0)</f>
        <v>0</v>
      </c>
      <c r="AL32" s="404">
        <f>_xlfn.IFNA(VLOOKUP($C32,Bowling!$B$39:$DX$66,79,0),0)</f>
        <v>0</v>
      </c>
      <c r="AM32" s="404">
        <f>_xlfn.IFNA(VLOOKUP($C32,Bowling!$B$39:$DX$66,84,0),0)</f>
        <v>0</v>
      </c>
      <c r="AN32" s="404">
        <f>_xlfn.IFNA(VLOOKUP($C32,Bowling!$B$39:$DX$66,89,0),0)</f>
        <v>0</v>
      </c>
      <c r="AO32" s="404">
        <f>_xlfn.IFNA(VLOOKUP($C32,Bowling!$B$39:$DX$66,94,0),0)</f>
        <v>0</v>
      </c>
      <c r="AP32" s="404">
        <f>_xlfn.IFNA(VLOOKUP($C32,Bowling!$B$39:$DX$66,99,0),0)</f>
        <v>0</v>
      </c>
      <c r="AQ32" s="404">
        <f>_xlfn.IFNA(VLOOKUP($C32,Bowling!$B$39:$DX$66,104,0),0)</f>
        <v>0</v>
      </c>
      <c r="AR32" s="404">
        <f>_xlfn.IFNA(VLOOKUP($C32,Bowling!$B$39:$DX$66,109,0),0)</f>
        <v>16.2</v>
      </c>
      <c r="AS32" s="404">
        <f>_xlfn.IFNA(VLOOKUP($C32,Bowling!$B$39:$DX$66,114,0),0)</f>
        <v>-3</v>
      </c>
      <c r="AT32" s="404">
        <f>_xlfn.IFNA(VLOOKUP($C32,Bowling!$B$39:$DX$66,119,0),0)</f>
        <v>0</v>
      </c>
      <c r="AU32" s="405">
        <f>_xlfn.IFNA(VLOOKUP($C32,Bowling!$B$39:$DX$66,124,0),0)</f>
        <v>0</v>
      </c>
      <c r="AV32" s="403">
        <f>_xlfn.IFNA(VLOOKUP($C32,Fielding!$B$23:$CN$36,8,0),0)</f>
        <v>0</v>
      </c>
      <c r="AW32" s="404">
        <f>_xlfn.IFNA(VLOOKUP($C32,Fielding!$B$23:$CN$36,12,0),0)</f>
        <v>0</v>
      </c>
      <c r="AX32" s="404">
        <f>_xlfn.IFNA(VLOOKUP($C32,Fielding!$B$23:$CN$36,16,0),0)</f>
        <v>0</v>
      </c>
      <c r="AY32" s="404">
        <f>_xlfn.IFNA(VLOOKUP($C32,Fielding!$B$23:$CN$36,20,0),0)</f>
        <v>0</v>
      </c>
      <c r="AZ32" s="404">
        <f>_xlfn.IFNA(VLOOKUP($C32,Fielding!$B$23:$CN$36,24,0),0)</f>
        <v>0</v>
      </c>
      <c r="BA32" s="404">
        <f>_xlfn.IFNA(VLOOKUP($C32,Fielding!$B$23:$CN$36,28,0),0)</f>
        <v>0</v>
      </c>
      <c r="BB32" s="404">
        <f>_xlfn.IFNA(VLOOKUP($C32,Fielding!$B$23:$CN$36,32,0),0)</f>
        <v>0</v>
      </c>
      <c r="BC32" s="404">
        <f>_xlfn.IFNA(VLOOKUP($C32,Fielding!$B$23:$CN$36,36,0),0)</f>
        <v>0</v>
      </c>
      <c r="BD32" s="404">
        <f>_xlfn.IFNA(VLOOKUP($C32,Fielding!$B$23:$CN$36,40,0),0)</f>
        <v>0</v>
      </c>
      <c r="BE32" s="404">
        <f>_xlfn.IFNA(VLOOKUP($C32,Fielding!$B$23:$CN$36,44,0),0)</f>
        <v>0</v>
      </c>
      <c r="BF32" s="404">
        <f>_xlfn.IFNA(VLOOKUP($C32,Fielding!$B$23:$CN$36,48,0),0)</f>
        <v>0</v>
      </c>
      <c r="BG32" s="404">
        <f>_xlfn.IFNA(VLOOKUP($C32,Fielding!$B$23:$CN$36,52,0),0)</f>
        <v>0</v>
      </c>
      <c r="BH32" s="404">
        <f>_xlfn.IFNA(VLOOKUP($C32,Fielding!$B$23:$CN$36,56,0),0)</f>
        <v>0</v>
      </c>
      <c r="BI32" s="404">
        <f>_xlfn.IFNA(VLOOKUP($C32,Fielding!$B$23:$CN$36,60,0),0)</f>
        <v>0</v>
      </c>
      <c r="BJ32" s="404">
        <f>_xlfn.IFNA(VLOOKUP($C32,Fielding!$B$23:$CN$36,64,0),0)</f>
        <v>0</v>
      </c>
      <c r="BK32" s="404">
        <f>_xlfn.IFNA(VLOOKUP($C32,Fielding!$B$23:$CN$36,68,0),0)</f>
        <v>0</v>
      </c>
      <c r="BL32" s="404">
        <f>_xlfn.IFNA(VLOOKUP($C32,Fielding!$B$23:$CN$36,72,0),0)</f>
        <v>0</v>
      </c>
      <c r="BM32" s="404">
        <f>_xlfn.IFNA(VLOOKUP($C32,Fielding!$B$23:$CN$36,76,0),0)</f>
        <v>0</v>
      </c>
      <c r="BN32" s="404">
        <f>_xlfn.IFNA(VLOOKUP($C32,Fielding!$B$23:$CN$36,80,0),0)</f>
        <v>0</v>
      </c>
      <c r="BO32" s="404">
        <f>_xlfn.IFNA(VLOOKUP($C32,Fielding!$B$23:$CN$36,84,0),0)</f>
        <v>0</v>
      </c>
      <c r="BP32" s="405">
        <f>_xlfn.IFNA(VLOOKUP($C32,Fielding!$B$23:$CN$36,88,0),0)</f>
        <v>0</v>
      </c>
      <c r="BQ32" s="403">
        <f t="shared" si="0"/>
        <v>0</v>
      </c>
      <c r="BR32" s="404">
        <f t="shared" si="1"/>
        <v>0</v>
      </c>
      <c r="BS32" s="404">
        <f t="shared" si="2"/>
        <v>0</v>
      </c>
      <c r="BT32" s="404">
        <f t="shared" si="3"/>
        <v>0</v>
      </c>
      <c r="BU32" s="404">
        <f t="shared" si="4"/>
        <v>0</v>
      </c>
      <c r="BV32" s="404">
        <f t="shared" si="5"/>
        <v>0</v>
      </c>
      <c r="BW32" s="404">
        <f t="shared" si="6"/>
        <v>0</v>
      </c>
      <c r="BX32" s="404">
        <f t="shared" si="7"/>
        <v>-9</v>
      </c>
      <c r="BY32" s="404">
        <f t="shared" si="8"/>
        <v>0</v>
      </c>
      <c r="BZ32" s="404">
        <f t="shared" si="9"/>
        <v>0</v>
      </c>
      <c r="CA32" s="404">
        <f t="shared" si="10"/>
        <v>0</v>
      </c>
      <c r="CB32" s="404">
        <f t="shared" si="11"/>
        <v>0</v>
      </c>
      <c r="CC32" s="404">
        <f t="shared" si="12"/>
        <v>0</v>
      </c>
      <c r="CD32" s="404">
        <f t="shared" si="13"/>
        <v>0</v>
      </c>
      <c r="CE32" s="404">
        <f t="shared" si="14"/>
        <v>0</v>
      </c>
      <c r="CF32" s="404">
        <f t="shared" si="15"/>
        <v>0</v>
      </c>
      <c r="CG32" s="404">
        <f t="shared" si="16"/>
        <v>0</v>
      </c>
      <c r="CH32" s="404">
        <f t="shared" si="17"/>
        <v>49.2</v>
      </c>
      <c r="CI32" s="404">
        <f t="shared" si="18"/>
        <v>-8</v>
      </c>
      <c r="CJ32" s="404">
        <f t="shared" si="19"/>
        <v>0</v>
      </c>
      <c r="CK32" s="405">
        <f t="shared" si="20"/>
        <v>0</v>
      </c>
      <c r="CL32" s="403">
        <f t="shared" si="44"/>
        <v>0</v>
      </c>
      <c r="CM32" s="404">
        <f t="shared" si="45"/>
        <v>0</v>
      </c>
      <c r="CN32" s="404">
        <f t="shared" si="46"/>
        <v>0</v>
      </c>
      <c r="CO32" s="404">
        <f t="shared" si="47"/>
        <v>0</v>
      </c>
      <c r="CP32" s="404">
        <f t="shared" si="48"/>
        <v>0</v>
      </c>
      <c r="CQ32" s="404">
        <f t="shared" si="49"/>
        <v>0</v>
      </c>
      <c r="CR32" s="404">
        <f t="shared" si="50"/>
        <v>0</v>
      </c>
      <c r="CS32" s="404">
        <f t="shared" si="51"/>
        <v>-9</v>
      </c>
      <c r="CT32" s="404">
        <f t="shared" si="52"/>
        <v>-9</v>
      </c>
      <c r="CU32" s="404">
        <f t="shared" si="53"/>
        <v>-9</v>
      </c>
      <c r="CV32" s="404">
        <f t="shared" si="54"/>
        <v>-9</v>
      </c>
      <c r="CW32" s="404">
        <f t="shared" si="55"/>
        <v>-9</v>
      </c>
      <c r="CX32" s="404">
        <f t="shared" si="56"/>
        <v>-9</v>
      </c>
      <c r="CY32" s="404">
        <f t="shared" si="57"/>
        <v>-9</v>
      </c>
      <c r="CZ32" s="404">
        <f t="shared" si="58"/>
        <v>-9</v>
      </c>
      <c r="DA32" s="404">
        <f t="shared" si="59"/>
        <v>-9</v>
      </c>
      <c r="DB32" s="404">
        <f t="shared" si="60"/>
        <v>-9</v>
      </c>
      <c r="DC32" s="404">
        <f t="shared" si="61"/>
        <v>40.200000000000003</v>
      </c>
      <c r="DD32" s="404">
        <f t="shared" si="62"/>
        <v>32.200000000000003</v>
      </c>
      <c r="DE32" s="404">
        <f t="shared" si="63"/>
        <v>32.200000000000003</v>
      </c>
      <c r="DF32" s="405">
        <f t="shared" si="64"/>
        <v>32.200000000000003</v>
      </c>
      <c r="DG32" s="414" t="str">
        <f t="shared" si="22"/>
        <v>-</v>
      </c>
      <c r="DH32" s="415" t="str">
        <f t="shared" si="23"/>
        <v>-</v>
      </c>
      <c r="DI32" s="415" t="str">
        <f t="shared" si="24"/>
        <v>-</v>
      </c>
      <c r="DJ32" s="415" t="str">
        <f t="shared" si="25"/>
        <v>-</v>
      </c>
      <c r="DK32" s="415" t="str">
        <f t="shared" si="26"/>
        <v>-</v>
      </c>
      <c r="DL32" s="415" t="str">
        <f t="shared" si="27"/>
        <v>-</v>
      </c>
      <c r="DM32" s="415" t="str">
        <f t="shared" si="28"/>
        <v>-</v>
      </c>
      <c r="DN32" s="415">
        <f t="shared" si="29"/>
        <v>30</v>
      </c>
      <c r="DO32" s="415">
        <f t="shared" si="30"/>
        <v>29</v>
      </c>
      <c r="DP32" s="415">
        <f t="shared" si="31"/>
        <v>29</v>
      </c>
      <c r="DQ32" s="415">
        <f t="shared" si="32"/>
        <v>28</v>
      </c>
      <c r="DR32" s="415">
        <f t="shared" si="33"/>
        <v>29</v>
      </c>
      <c r="DS32" s="415">
        <f t="shared" si="34"/>
        <v>29</v>
      </c>
      <c r="DT32" s="415">
        <f t="shared" si="35"/>
        <v>29</v>
      </c>
      <c r="DU32" s="415">
        <f t="shared" si="36"/>
        <v>29</v>
      </c>
      <c r="DV32" s="415">
        <f t="shared" si="37"/>
        <v>29</v>
      </c>
      <c r="DW32" s="415">
        <f t="shared" si="38"/>
        <v>30</v>
      </c>
      <c r="DX32" s="415">
        <f t="shared" si="39"/>
        <v>14</v>
      </c>
      <c r="DY32" s="415">
        <f t="shared" si="40"/>
        <v>16</v>
      </c>
      <c r="DZ32" s="415">
        <f t="shared" si="41"/>
        <v>16</v>
      </c>
      <c r="EA32" s="416">
        <f t="shared" si="42"/>
        <v>16</v>
      </c>
    </row>
    <row r="33" spans="1:131" x14ac:dyDescent="0.2">
      <c r="A33" s="119"/>
      <c r="B33" s="157">
        <f t="shared" si="43"/>
        <v>31</v>
      </c>
      <c r="C33" s="158" t="s">
        <v>55</v>
      </c>
      <c r="D33" s="159" t="s">
        <v>191</v>
      </c>
      <c r="E33" s="409">
        <f>IF(ISNA(VLOOKUP($C33,Batting!$B$5:$M$103,3,FALSE)),0,(VLOOKUP($C33,Batting!$B$5:$M$103,3,FALSE)))</f>
        <v>10</v>
      </c>
      <c r="F33" s="403">
        <f>VLOOKUP($C33,Batting!$B$44:$BZ$75,17,0)</f>
        <v>0</v>
      </c>
      <c r="G33" s="404">
        <f>VLOOKUP($C33,Batting!$B$44:$BZ$75,20,0)</f>
        <v>0</v>
      </c>
      <c r="H33" s="404">
        <f>VLOOKUP($C33,Batting!$B$44:$BZ$75,23,0)</f>
        <v>0</v>
      </c>
      <c r="I33" s="404">
        <f>VLOOKUP($C33,Batting!$B$44:$BZ$75,26,0)</f>
        <v>0</v>
      </c>
      <c r="J33" s="404">
        <f>VLOOKUP($C33,Batting!$B$44:$BZ$75,29,0)</f>
        <v>0</v>
      </c>
      <c r="K33" s="404">
        <f>VLOOKUP($C33,Batting!$B$44:$BZ$75,32,0)</f>
        <v>0</v>
      </c>
      <c r="L33" s="404">
        <f>VLOOKUP($C33,Batting!$B$44:$BZ$75,35,0)</f>
        <v>1</v>
      </c>
      <c r="M33" s="404">
        <f>VLOOKUP($C33,Batting!$B$44:$BZ$75,38,0)</f>
        <v>0</v>
      </c>
      <c r="N33" s="404">
        <f>VLOOKUP($C33,Batting!$B$44:$BZ$75,41,0)</f>
        <v>1</v>
      </c>
      <c r="O33" s="404">
        <f>VLOOKUP($C33,Batting!$B$44:$BZ$75,44,0)</f>
        <v>-7</v>
      </c>
      <c r="P33" s="404">
        <f>VLOOKUP($C33,Batting!$B$44:$BZ$75,47,0)</f>
        <v>-7</v>
      </c>
      <c r="Q33" s="404">
        <f>VLOOKUP($C33,Batting!$B$44:$BZ$75,50,0)</f>
        <v>0</v>
      </c>
      <c r="R33" s="404">
        <f>VLOOKUP($C33,Batting!$B$44:$BZ$75,53,0)</f>
        <v>0</v>
      </c>
      <c r="S33" s="404">
        <f>VLOOKUP($C33,Batting!$B$44:$BZ$75,56,0)</f>
        <v>0</v>
      </c>
      <c r="T33" s="404">
        <f>VLOOKUP($C33,Batting!$B$44:$BZ$75,59,0)</f>
        <v>0</v>
      </c>
      <c r="U33" s="404">
        <f>VLOOKUP($C33,Batting!$B$44:$BZ$75,62,0)</f>
        <v>-1</v>
      </c>
      <c r="V33" s="404">
        <f>VLOOKUP($C33,Batting!$B$44:$BZ$75,65,0)</f>
        <v>0</v>
      </c>
      <c r="W33" s="404">
        <f>VLOOKUP($C33,Batting!$B$44:$BZ$75,68,0)</f>
        <v>-6</v>
      </c>
      <c r="X33" s="404">
        <f>VLOOKUP($C33,Batting!$B$44:$BZ$75,71,0)</f>
        <v>-7</v>
      </c>
      <c r="Y33" s="404">
        <f>VLOOKUP($C33,Batting!$B$44:$BZ$75,74,0)</f>
        <v>0</v>
      </c>
      <c r="Z33" s="405">
        <f>VLOOKUP($C33,Batting!$B$44:$BZ$75,77,0)</f>
        <v>0</v>
      </c>
      <c r="AA33" s="403">
        <f>_xlfn.IFNA(VLOOKUP($C33,Bowling!$B$39:$DX$66,24,0),0)</f>
        <v>0</v>
      </c>
      <c r="AB33" s="404">
        <f>_xlfn.IFNA(VLOOKUP($C33,Bowling!$B$39:$DX$66,29,0),0)</f>
        <v>0</v>
      </c>
      <c r="AC33" s="404">
        <f>_xlfn.IFNA(VLOOKUP($C33,Bowling!$B$39:$DX$66,34,0),0)</f>
        <v>0</v>
      </c>
      <c r="AD33" s="404">
        <f>_xlfn.IFNA(VLOOKUP($C33,Bowling!$B$39:$DX$66,39,0),0)</f>
        <v>0</v>
      </c>
      <c r="AE33" s="404">
        <f>_xlfn.IFNA(VLOOKUP($C33,Bowling!$B$39:$DX$66,44,0),0)</f>
        <v>0</v>
      </c>
      <c r="AF33" s="404">
        <f>_xlfn.IFNA(VLOOKUP($C33,Bowling!$B$39:$DX$66,49,0),0)</f>
        <v>0</v>
      </c>
      <c r="AG33" s="404">
        <f>_xlfn.IFNA(VLOOKUP($C33,Bowling!$B$39:$DX$66,54,0),0)</f>
        <v>0</v>
      </c>
      <c r="AH33" s="404">
        <f>_xlfn.IFNA(VLOOKUP($C33,Bowling!$B$39:$DX$66,59,0),0)</f>
        <v>0</v>
      </c>
      <c r="AI33" s="404">
        <f>_xlfn.IFNA(VLOOKUP($C33,Bowling!$B$39:$DX$66,64,0),0)</f>
        <v>0</v>
      </c>
      <c r="AJ33" s="404">
        <f>_xlfn.IFNA(VLOOKUP($C33,Bowling!$B$39:$DX$66,69,0),0)</f>
        <v>0</v>
      </c>
      <c r="AK33" s="404">
        <f>_xlfn.IFNA(VLOOKUP($C33,Bowling!$B$39:$DX$66,74,0),0)</f>
        <v>0</v>
      </c>
      <c r="AL33" s="404">
        <f>_xlfn.IFNA(VLOOKUP($C33,Bowling!$B$39:$DX$66,79,0),0)</f>
        <v>0</v>
      </c>
      <c r="AM33" s="404">
        <f>_xlfn.IFNA(VLOOKUP($C33,Bowling!$B$39:$DX$66,84,0),0)</f>
        <v>0</v>
      </c>
      <c r="AN33" s="404">
        <f>_xlfn.IFNA(VLOOKUP($C33,Bowling!$B$39:$DX$66,89,0),0)</f>
        <v>0</v>
      </c>
      <c r="AO33" s="404">
        <f>_xlfn.IFNA(VLOOKUP($C33,Bowling!$B$39:$DX$66,94,0),0)</f>
        <v>0</v>
      </c>
      <c r="AP33" s="404">
        <f>_xlfn.IFNA(VLOOKUP($C33,Bowling!$B$39:$DX$66,99,0),0)</f>
        <v>0</v>
      </c>
      <c r="AQ33" s="404">
        <f>_xlfn.IFNA(VLOOKUP($C33,Bowling!$B$39:$DX$66,104,0),0)</f>
        <v>0</v>
      </c>
      <c r="AR33" s="404">
        <f>_xlfn.IFNA(VLOOKUP($C33,Bowling!$B$39:$DX$66,109,0),0)</f>
        <v>0</v>
      </c>
      <c r="AS33" s="404">
        <f>_xlfn.IFNA(VLOOKUP($C33,Bowling!$B$39:$DX$66,114,0),0)</f>
        <v>0</v>
      </c>
      <c r="AT33" s="404">
        <f>_xlfn.IFNA(VLOOKUP($C33,Bowling!$B$39:$DX$66,119,0),0)</f>
        <v>0</v>
      </c>
      <c r="AU33" s="405">
        <f>_xlfn.IFNA(VLOOKUP($C33,Bowling!$B$39:$DX$66,124,0),0)</f>
        <v>0</v>
      </c>
      <c r="AV33" s="403">
        <f>_xlfn.IFNA(VLOOKUP($C33,Fielding!$B$23:$CN$36,8,0),0)</f>
        <v>0</v>
      </c>
      <c r="AW33" s="404">
        <f>_xlfn.IFNA(VLOOKUP($C33,Fielding!$B$23:$CN$36,12,0),0)</f>
        <v>0</v>
      </c>
      <c r="AX33" s="404">
        <f>_xlfn.IFNA(VLOOKUP($C33,Fielding!$B$23:$CN$36,16,0),0)</f>
        <v>0</v>
      </c>
      <c r="AY33" s="404">
        <f>_xlfn.IFNA(VLOOKUP($C33,Fielding!$B$23:$CN$36,20,0),0)</f>
        <v>0</v>
      </c>
      <c r="AZ33" s="404">
        <f>_xlfn.IFNA(VLOOKUP($C33,Fielding!$B$23:$CN$36,24,0),0)</f>
        <v>0</v>
      </c>
      <c r="BA33" s="404">
        <f>_xlfn.IFNA(VLOOKUP($C33,Fielding!$B$23:$CN$36,28,0),0)</f>
        <v>0</v>
      </c>
      <c r="BB33" s="404">
        <f>_xlfn.IFNA(VLOOKUP($C33,Fielding!$B$23:$CN$36,32,0),0)</f>
        <v>0</v>
      </c>
      <c r="BC33" s="404">
        <f>_xlfn.IFNA(VLOOKUP($C33,Fielding!$B$23:$CN$36,36,0),0)</f>
        <v>0</v>
      </c>
      <c r="BD33" s="404">
        <f>_xlfn.IFNA(VLOOKUP($C33,Fielding!$B$23:$CN$36,40,0),0)</f>
        <v>0</v>
      </c>
      <c r="BE33" s="404">
        <f>_xlfn.IFNA(VLOOKUP($C33,Fielding!$B$23:$CN$36,44,0),0)</f>
        <v>0</v>
      </c>
      <c r="BF33" s="404">
        <f>_xlfn.IFNA(VLOOKUP($C33,Fielding!$B$23:$CN$36,48,0),0)</f>
        <v>0</v>
      </c>
      <c r="BG33" s="404">
        <f>_xlfn.IFNA(VLOOKUP($C33,Fielding!$B$23:$CN$36,52,0),0)</f>
        <v>0</v>
      </c>
      <c r="BH33" s="404">
        <f>_xlfn.IFNA(VLOOKUP($C33,Fielding!$B$23:$CN$36,56,0),0)</f>
        <v>0</v>
      </c>
      <c r="BI33" s="404">
        <f>_xlfn.IFNA(VLOOKUP($C33,Fielding!$B$23:$CN$36,60,0),0)</f>
        <v>0</v>
      </c>
      <c r="BJ33" s="404">
        <f>_xlfn.IFNA(VLOOKUP($C33,Fielding!$B$23:$CN$36,64,0),0)</f>
        <v>0</v>
      </c>
      <c r="BK33" s="404">
        <f>_xlfn.IFNA(VLOOKUP($C33,Fielding!$B$23:$CN$36,68,0),0)</f>
        <v>0</v>
      </c>
      <c r="BL33" s="404">
        <f>_xlfn.IFNA(VLOOKUP($C33,Fielding!$B$23:$CN$36,72,0),0)</f>
        <v>8</v>
      </c>
      <c r="BM33" s="404">
        <f>_xlfn.IFNA(VLOOKUP($C33,Fielding!$B$23:$CN$36,76,0),0)</f>
        <v>0</v>
      </c>
      <c r="BN33" s="404">
        <f>_xlfn.IFNA(VLOOKUP($C33,Fielding!$B$23:$CN$36,80,0),0)</f>
        <v>0</v>
      </c>
      <c r="BO33" s="404">
        <f>_xlfn.IFNA(VLOOKUP($C33,Fielding!$B$23:$CN$36,84,0),0)</f>
        <v>0</v>
      </c>
      <c r="BP33" s="405">
        <f>_xlfn.IFNA(VLOOKUP($C33,Fielding!$B$23:$CN$36,88,0),0)</f>
        <v>0</v>
      </c>
      <c r="BQ33" s="403">
        <f t="shared" si="0"/>
        <v>0</v>
      </c>
      <c r="BR33" s="404">
        <f t="shared" si="1"/>
        <v>0</v>
      </c>
      <c r="BS33" s="404">
        <f t="shared" si="2"/>
        <v>0</v>
      </c>
      <c r="BT33" s="404">
        <f t="shared" si="3"/>
        <v>0</v>
      </c>
      <c r="BU33" s="404">
        <f t="shared" si="4"/>
        <v>0</v>
      </c>
      <c r="BV33" s="404">
        <f t="shared" si="5"/>
        <v>0</v>
      </c>
      <c r="BW33" s="404">
        <f t="shared" si="6"/>
        <v>1</v>
      </c>
      <c r="BX33" s="404">
        <f t="shared" si="7"/>
        <v>0</v>
      </c>
      <c r="BY33" s="404">
        <f t="shared" si="8"/>
        <v>1</v>
      </c>
      <c r="BZ33" s="404">
        <f t="shared" si="9"/>
        <v>-7</v>
      </c>
      <c r="CA33" s="404">
        <f t="shared" si="10"/>
        <v>-7</v>
      </c>
      <c r="CB33" s="404">
        <f t="shared" si="11"/>
        <v>0</v>
      </c>
      <c r="CC33" s="404">
        <f t="shared" si="12"/>
        <v>0</v>
      </c>
      <c r="CD33" s="404">
        <f t="shared" si="13"/>
        <v>0</v>
      </c>
      <c r="CE33" s="404">
        <f t="shared" si="14"/>
        <v>0</v>
      </c>
      <c r="CF33" s="404">
        <f t="shared" si="15"/>
        <v>-1</v>
      </c>
      <c r="CG33" s="404">
        <f t="shared" si="16"/>
        <v>8</v>
      </c>
      <c r="CH33" s="404">
        <f t="shared" si="17"/>
        <v>-6</v>
      </c>
      <c r="CI33" s="404">
        <f t="shared" si="18"/>
        <v>-7</v>
      </c>
      <c r="CJ33" s="404">
        <f t="shared" si="19"/>
        <v>0</v>
      </c>
      <c r="CK33" s="405">
        <f t="shared" si="20"/>
        <v>0</v>
      </c>
      <c r="CL33" s="403">
        <f t="shared" si="44"/>
        <v>0</v>
      </c>
      <c r="CM33" s="404">
        <f t="shared" si="45"/>
        <v>0</v>
      </c>
      <c r="CN33" s="404">
        <f t="shared" si="46"/>
        <v>0</v>
      </c>
      <c r="CO33" s="404">
        <f t="shared" si="47"/>
        <v>0</v>
      </c>
      <c r="CP33" s="404">
        <f t="shared" si="48"/>
        <v>0</v>
      </c>
      <c r="CQ33" s="404">
        <f t="shared" si="49"/>
        <v>0</v>
      </c>
      <c r="CR33" s="404">
        <f t="shared" si="50"/>
        <v>1</v>
      </c>
      <c r="CS33" s="404">
        <f t="shared" si="51"/>
        <v>1</v>
      </c>
      <c r="CT33" s="404">
        <f t="shared" si="52"/>
        <v>2</v>
      </c>
      <c r="CU33" s="404">
        <f t="shared" si="53"/>
        <v>-5</v>
      </c>
      <c r="CV33" s="404">
        <f t="shared" si="54"/>
        <v>-12</v>
      </c>
      <c r="CW33" s="404">
        <f t="shared" si="55"/>
        <v>-12</v>
      </c>
      <c r="CX33" s="404">
        <f t="shared" si="56"/>
        <v>-12</v>
      </c>
      <c r="CY33" s="404">
        <f t="shared" si="57"/>
        <v>-12</v>
      </c>
      <c r="CZ33" s="404">
        <f t="shared" si="58"/>
        <v>-12</v>
      </c>
      <c r="DA33" s="404">
        <f t="shared" si="59"/>
        <v>-13</v>
      </c>
      <c r="DB33" s="404">
        <f t="shared" si="60"/>
        <v>-5</v>
      </c>
      <c r="DC33" s="404">
        <f t="shared" si="61"/>
        <v>-11</v>
      </c>
      <c r="DD33" s="404">
        <f t="shared" si="62"/>
        <v>-18</v>
      </c>
      <c r="DE33" s="404">
        <f t="shared" si="63"/>
        <v>-18</v>
      </c>
      <c r="DF33" s="405">
        <f t="shared" si="64"/>
        <v>-18</v>
      </c>
      <c r="DG33" s="414" t="str">
        <f t="shared" si="22"/>
        <v>-</v>
      </c>
      <c r="DH33" s="415" t="str">
        <f t="shared" si="23"/>
        <v>-</v>
      </c>
      <c r="DI33" s="415" t="str">
        <f t="shared" si="24"/>
        <v>-</v>
      </c>
      <c r="DJ33" s="415" t="str">
        <f t="shared" si="25"/>
        <v>-</v>
      </c>
      <c r="DK33" s="415" t="str">
        <f t="shared" si="26"/>
        <v>-</v>
      </c>
      <c r="DL33" s="415" t="str">
        <f t="shared" si="27"/>
        <v>-</v>
      </c>
      <c r="DM33" s="415">
        <f t="shared" si="28"/>
        <v>15</v>
      </c>
      <c r="DN33" s="415">
        <f t="shared" si="29"/>
        <v>16</v>
      </c>
      <c r="DO33" s="415">
        <f t="shared" si="30"/>
        <v>18</v>
      </c>
      <c r="DP33" s="415">
        <f t="shared" si="31"/>
        <v>25</v>
      </c>
      <c r="DQ33" s="415">
        <f t="shared" si="32"/>
        <v>30</v>
      </c>
      <c r="DR33" s="415">
        <f t="shared" si="33"/>
        <v>30</v>
      </c>
      <c r="DS33" s="415">
        <f t="shared" si="34"/>
        <v>30</v>
      </c>
      <c r="DT33" s="415">
        <f t="shared" si="35"/>
        <v>30</v>
      </c>
      <c r="DU33" s="415">
        <f t="shared" si="36"/>
        <v>30</v>
      </c>
      <c r="DV33" s="415">
        <f t="shared" si="37"/>
        <v>30</v>
      </c>
      <c r="DW33" s="415">
        <f t="shared" si="38"/>
        <v>26</v>
      </c>
      <c r="DX33" s="415">
        <f t="shared" si="39"/>
        <v>30</v>
      </c>
      <c r="DY33" s="415">
        <f t="shared" si="40"/>
        <v>32</v>
      </c>
      <c r="DZ33" s="415">
        <f t="shared" si="41"/>
        <v>32</v>
      </c>
      <c r="EA33" s="416">
        <f t="shared" si="42"/>
        <v>32</v>
      </c>
    </row>
    <row r="34" spans="1:131" x14ac:dyDescent="0.2">
      <c r="A34" s="119"/>
      <c r="B34" s="196">
        <f t="shared" si="43"/>
        <v>32</v>
      </c>
      <c r="C34" s="197" t="s">
        <v>220</v>
      </c>
      <c r="D34" s="198" t="s">
        <v>191</v>
      </c>
      <c r="E34" s="410">
        <f>IF(ISNA(VLOOKUP($C34,Batting!$B$5:$M$103,3,FALSE)),0,(VLOOKUP($C34,Batting!$B$5:$M$103,3,FALSE)))</f>
        <v>7</v>
      </c>
      <c r="F34" s="406">
        <f>VLOOKUP($C34,Batting!$B$44:$BZ$75,17,0)</f>
        <v>0</v>
      </c>
      <c r="G34" s="407">
        <f>VLOOKUP($C34,Batting!$B$44:$BZ$75,20,0)</f>
        <v>0</v>
      </c>
      <c r="H34" s="407">
        <f>VLOOKUP($C34,Batting!$B$44:$BZ$75,23,0)</f>
        <v>0</v>
      </c>
      <c r="I34" s="407">
        <f>VLOOKUP($C34,Batting!$B$44:$BZ$75,26,0)</f>
        <v>-7</v>
      </c>
      <c r="J34" s="407">
        <f>VLOOKUP($C34,Batting!$B$44:$BZ$75,29,0)</f>
        <v>0</v>
      </c>
      <c r="K34" s="407">
        <f>VLOOKUP($C34,Batting!$B$44:$BZ$75,32,0)</f>
        <v>0</v>
      </c>
      <c r="L34" s="407">
        <f>VLOOKUP($C34,Batting!$B$44:$BZ$75,35,0)</f>
        <v>0</v>
      </c>
      <c r="M34" s="407">
        <f>VLOOKUP($C34,Batting!$B$44:$BZ$75,38,0)</f>
        <v>3</v>
      </c>
      <c r="N34" s="407">
        <f>VLOOKUP($C34,Batting!$B$44:$BZ$75,41,0)</f>
        <v>-7</v>
      </c>
      <c r="O34" s="407">
        <f>VLOOKUP($C34,Batting!$B$44:$BZ$75,44,0)</f>
        <v>1</v>
      </c>
      <c r="P34" s="407">
        <f>VLOOKUP($C34,Batting!$B$44:$BZ$75,47,0)</f>
        <v>0</v>
      </c>
      <c r="Q34" s="407">
        <f>VLOOKUP($C34,Batting!$B$44:$BZ$75,50,0)</f>
        <v>-6</v>
      </c>
      <c r="R34" s="407">
        <f>VLOOKUP($C34,Batting!$B$44:$BZ$75,53,0)</f>
        <v>0</v>
      </c>
      <c r="S34" s="407">
        <f>VLOOKUP($C34,Batting!$B$44:$BZ$75,56,0)</f>
        <v>0</v>
      </c>
      <c r="T34" s="407">
        <f>VLOOKUP($C34,Batting!$B$44:$BZ$75,59,0)</f>
        <v>0</v>
      </c>
      <c r="U34" s="407">
        <f>VLOOKUP($C34,Batting!$B$44:$BZ$75,62,0)</f>
        <v>0</v>
      </c>
      <c r="V34" s="407">
        <f>VLOOKUP($C34,Batting!$B$44:$BZ$75,65,0)</f>
        <v>0</v>
      </c>
      <c r="W34" s="407">
        <f>VLOOKUP($C34,Batting!$B$44:$BZ$75,68,0)</f>
        <v>0</v>
      </c>
      <c r="X34" s="407">
        <f>VLOOKUP($C34,Batting!$B$44:$BZ$75,71,0)</f>
        <v>0</v>
      </c>
      <c r="Y34" s="407">
        <f>VLOOKUP($C34,Batting!$B$44:$BZ$75,74,0)</f>
        <v>0</v>
      </c>
      <c r="Z34" s="408">
        <f>VLOOKUP($C34,Batting!$B$44:$BZ$75,77,0)</f>
        <v>0</v>
      </c>
      <c r="AA34" s="406">
        <f>_xlfn.IFNA(VLOOKUP($C34,Bowling!$B$39:$DX$66,24,0),0)</f>
        <v>0</v>
      </c>
      <c r="AB34" s="407">
        <f>_xlfn.IFNA(VLOOKUP($C34,Bowling!$B$39:$DX$66,29,0),0)</f>
        <v>0</v>
      </c>
      <c r="AC34" s="407">
        <f>_xlfn.IFNA(VLOOKUP($C34,Bowling!$B$39:$DX$66,34,0),0)</f>
        <v>0</v>
      </c>
      <c r="AD34" s="407">
        <f>_xlfn.IFNA(VLOOKUP($C34,Bowling!$B$39:$DX$66,39,0),0)</f>
        <v>0</v>
      </c>
      <c r="AE34" s="407">
        <f>_xlfn.IFNA(VLOOKUP($C34,Bowling!$B$39:$DX$66,44,0),0)</f>
        <v>0</v>
      </c>
      <c r="AF34" s="407">
        <f>_xlfn.IFNA(VLOOKUP($C34,Bowling!$B$39:$DX$66,49,0),0)</f>
        <v>0</v>
      </c>
      <c r="AG34" s="407">
        <f>_xlfn.IFNA(VLOOKUP($C34,Bowling!$B$39:$DX$66,54,0),0)</f>
        <v>0</v>
      </c>
      <c r="AH34" s="407">
        <f>_xlfn.IFNA(VLOOKUP($C34,Bowling!$B$39:$DX$66,59,0),0)</f>
        <v>0</v>
      </c>
      <c r="AI34" s="407">
        <f>_xlfn.IFNA(VLOOKUP($C34,Bowling!$B$39:$DX$66,64,0),0)</f>
        <v>0</v>
      </c>
      <c r="AJ34" s="407">
        <f>_xlfn.IFNA(VLOOKUP($C34,Bowling!$B$39:$DX$66,69,0),0)</f>
        <v>-1.6</v>
      </c>
      <c r="AK34" s="407">
        <f>_xlfn.IFNA(VLOOKUP($C34,Bowling!$B$39:$DX$66,74,0),0)</f>
        <v>0</v>
      </c>
      <c r="AL34" s="407">
        <f>_xlfn.IFNA(VLOOKUP($C34,Bowling!$B$39:$DX$66,79,0),0)</f>
        <v>0</v>
      </c>
      <c r="AM34" s="407">
        <f>_xlfn.IFNA(VLOOKUP($C34,Bowling!$B$39:$DX$66,84,0),0)</f>
        <v>0</v>
      </c>
      <c r="AN34" s="407">
        <f>_xlfn.IFNA(VLOOKUP($C34,Bowling!$B$39:$DX$66,89,0),0)</f>
        <v>0</v>
      </c>
      <c r="AO34" s="407">
        <f>_xlfn.IFNA(VLOOKUP($C34,Bowling!$B$39:$DX$66,94,0),0)</f>
        <v>0</v>
      </c>
      <c r="AP34" s="407">
        <f>_xlfn.IFNA(VLOOKUP($C34,Bowling!$B$39:$DX$66,99,0),0)</f>
        <v>0</v>
      </c>
      <c r="AQ34" s="407">
        <f>_xlfn.IFNA(VLOOKUP($C34,Bowling!$B$39:$DX$66,104,0),0)</f>
        <v>0</v>
      </c>
      <c r="AR34" s="407">
        <f>_xlfn.IFNA(VLOOKUP($C34,Bowling!$B$39:$DX$66,109,0),0)</f>
        <v>0</v>
      </c>
      <c r="AS34" s="407">
        <f>_xlfn.IFNA(VLOOKUP($C34,Bowling!$B$39:$DX$66,114,0),0)</f>
        <v>0</v>
      </c>
      <c r="AT34" s="407">
        <f>_xlfn.IFNA(VLOOKUP($C34,Bowling!$B$39:$DX$66,119,0),0)</f>
        <v>0</v>
      </c>
      <c r="AU34" s="408">
        <f>_xlfn.IFNA(VLOOKUP($C34,Bowling!$B$39:$DX$66,124,0),0)</f>
        <v>0</v>
      </c>
      <c r="AV34" s="406">
        <f>_xlfn.IFNA(VLOOKUP($C34,Fielding!$B$23:$CN$36,8,0),0)</f>
        <v>0</v>
      </c>
      <c r="AW34" s="407">
        <f>_xlfn.IFNA(VLOOKUP($C34,Fielding!$B$23:$CN$36,12,0),0)</f>
        <v>0</v>
      </c>
      <c r="AX34" s="407">
        <f>_xlfn.IFNA(VLOOKUP($C34,Fielding!$B$23:$CN$36,16,0),0)</f>
        <v>0</v>
      </c>
      <c r="AY34" s="407">
        <f>_xlfn.IFNA(VLOOKUP($C34,Fielding!$B$23:$CN$36,20,0),0)</f>
        <v>0</v>
      </c>
      <c r="AZ34" s="407">
        <f>_xlfn.IFNA(VLOOKUP($C34,Fielding!$B$23:$CN$36,24,0),0)</f>
        <v>0</v>
      </c>
      <c r="BA34" s="407">
        <f>_xlfn.IFNA(VLOOKUP($C34,Fielding!$B$23:$CN$36,28,0),0)</f>
        <v>0</v>
      </c>
      <c r="BB34" s="407">
        <f>_xlfn.IFNA(VLOOKUP($C34,Fielding!$B$23:$CN$36,32,0),0)</f>
        <v>0</v>
      </c>
      <c r="BC34" s="407">
        <f>_xlfn.IFNA(VLOOKUP($C34,Fielding!$B$23:$CN$36,36,0),0)</f>
        <v>0</v>
      </c>
      <c r="BD34" s="407">
        <f>_xlfn.IFNA(VLOOKUP($C34,Fielding!$B$23:$CN$36,40,0),0)</f>
        <v>0</v>
      </c>
      <c r="BE34" s="407">
        <f>_xlfn.IFNA(VLOOKUP($C34,Fielding!$B$23:$CN$36,44,0),0)</f>
        <v>0</v>
      </c>
      <c r="BF34" s="407">
        <f>_xlfn.IFNA(VLOOKUP($C34,Fielding!$B$23:$CN$36,48,0),0)</f>
        <v>0</v>
      </c>
      <c r="BG34" s="407">
        <f>_xlfn.IFNA(VLOOKUP($C34,Fielding!$B$23:$CN$36,52,0),0)</f>
        <v>0</v>
      </c>
      <c r="BH34" s="407">
        <f>_xlfn.IFNA(VLOOKUP($C34,Fielding!$B$23:$CN$36,56,0),0)</f>
        <v>0</v>
      </c>
      <c r="BI34" s="407">
        <f>_xlfn.IFNA(VLOOKUP($C34,Fielding!$B$23:$CN$36,60,0),0)</f>
        <v>0</v>
      </c>
      <c r="BJ34" s="407">
        <f>_xlfn.IFNA(VLOOKUP($C34,Fielding!$B$23:$CN$36,64,0),0)</f>
        <v>0</v>
      </c>
      <c r="BK34" s="407">
        <f>_xlfn.IFNA(VLOOKUP($C34,Fielding!$B$23:$CN$36,68,0),0)</f>
        <v>0</v>
      </c>
      <c r="BL34" s="407">
        <f>_xlfn.IFNA(VLOOKUP($C34,Fielding!$B$23:$CN$36,72,0),0)</f>
        <v>0</v>
      </c>
      <c r="BM34" s="407">
        <f>_xlfn.IFNA(VLOOKUP($C34,Fielding!$B$23:$CN$36,76,0),0)</f>
        <v>0</v>
      </c>
      <c r="BN34" s="407">
        <f>_xlfn.IFNA(VLOOKUP($C34,Fielding!$B$23:$CN$36,80,0),0)</f>
        <v>0</v>
      </c>
      <c r="BO34" s="407">
        <f>_xlfn.IFNA(VLOOKUP($C34,Fielding!$B$23:$CN$36,84,0),0)</f>
        <v>0</v>
      </c>
      <c r="BP34" s="408">
        <f>_xlfn.IFNA(VLOOKUP($C34,Fielding!$B$23:$CN$36,88,0),0)</f>
        <v>0</v>
      </c>
      <c r="BQ34" s="406">
        <f t="shared" si="0"/>
        <v>0</v>
      </c>
      <c r="BR34" s="407">
        <f t="shared" si="1"/>
        <v>0</v>
      </c>
      <c r="BS34" s="407">
        <f t="shared" si="2"/>
        <v>0</v>
      </c>
      <c r="BT34" s="407">
        <f t="shared" si="3"/>
        <v>-7</v>
      </c>
      <c r="BU34" s="407">
        <f t="shared" si="4"/>
        <v>0</v>
      </c>
      <c r="BV34" s="407">
        <f t="shared" si="5"/>
        <v>0</v>
      </c>
      <c r="BW34" s="407">
        <f t="shared" si="6"/>
        <v>0</v>
      </c>
      <c r="BX34" s="407">
        <f t="shared" si="7"/>
        <v>3</v>
      </c>
      <c r="BY34" s="407">
        <f t="shared" si="8"/>
        <v>-7</v>
      </c>
      <c r="BZ34" s="407">
        <f t="shared" si="9"/>
        <v>-0.60000000000000009</v>
      </c>
      <c r="CA34" s="407">
        <f t="shared" si="10"/>
        <v>0</v>
      </c>
      <c r="CB34" s="407">
        <f t="shared" si="11"/>
        <v>-6</v>
      </c>
      <c r="CC34" s="407">
        <f t="shared" si="12"/>
        <v>0</v>
      </c>
      <c r="CD34" s="407">
        <f t="shared" si="13"/>
        <v>0</v>
      </c>
      <c r="CE34" s="407">
        <f t="shared" si="14"/>
        <v>0</v>
      </c>
      <c r="CF34" s="407">
        <f t="shared" si="15"/>
        <v>0</v>
      </c>
      <c r="CG34" s="407">
        <f t="shared" si="16"/>
        <v>0</v>
      </c>
      <c r="CH34" s="407">
        <f t="shared" si="17"/>
        <v>0</v>
      </c>
      <c r="CI34" s="407">
        <f t="shared" si="18"/>
        <v>0</v>
      </c>
      <c r="CJ34" s="407">
        <f t="shared" si="19"/>
        <v>0</v>
      </c>
      <c r="CK34" s="408">
        <f t="shared" si="20"/>
        <v>0</v>
      </c>
      <c r="CL34" s="406">
        <f t="shared" si="44"/>
        <v>0</v>
      </c>
      <c r="CM34" s="407">
        <f t="shared" si="45"/>
        <v>0</v>
      </c>
      <c r="CN34" s="407">
        <f t="shared" si="46"/>
        <v>0</v>
      </c>
      <c r="CO34" s="407">
        <f t="shared" si="47"/>
        <v>-7</v>
      </c>
      <c r="CP34" s="407">
        <f t="shared" si="48"/>
        <v>-7</v>
      </c>
      <c r="CQ34" s="407">
        <f t="shared" si="49"/>
        <v>-7</v>
      </c>
      <c r="CR34" s="407">
        <f t="shared" si="50"/>
        <v>-7</v>
      </c>
      <c r="CS34" s="407">
        <f t="shared" si="51"/>
        <v>-4</v>
      </c>
      <c r="CT34" s="407">
        <f t="shared" si="52"/>
        <v>-11</v>
      </c>
      <c r="CU34" s="407">
        <f t="shared" si="53"/>
        <v>-11.6</v>
      </c>
      <c r="CV34" s="407">
        <f t="shared" si="54"/>
        <v>-11.6</v>
      </c>
      <c r="CW34" s="407">
        <f t="shared" si="55"/>
        <v>-17.600000000000001</v>
      </c>
      <c r="CX34" s="407">
        <f t="shared" si="56"/>
        <v>-17.600000000000001</v>
      </c>
      <c r="CY34" s="407">
        <f t="shared" si="57"/>
        <v>-17.600000000000001</v>
      </c>
      <c r="CZ34" s="407">
        <f t="shared" si="58"/>
        <v>-17.600000000000001</v>
      </c>
      <c r="DA34" s="407">
        <f t="shared" si="59"/>
        <v>-17.600000000000001</v>
      </c>
      <c r="DB34" s="407">
        <f t="shared" si="60"/>
        <v>-17.600000000000001</v>
      </c>
      <c r="DC34" s="407">
        <f t="shared" si="61"/>
        <v>-17.600000000000001</v>
      </c>
      <c r="DD34" s="407">
        <f t="shared" si="62"/>
        <v>-17.600000000000001</v>
      </c>
      <c r="DE34" s="407">
        <f t="shared" si="63"/>
        <v>-17.600000000000001</v>
      </c>
      <c r="DF34" s="408">
        <f t="shared" si="64"/>
        <v>-17.600000000000001</v>
      </c>
      <c r="DG34" s="417" t="str">
        <f t="shared" si="22"/>
        <v>-</v>
      </c>
      <c r="DH34" s="418" t="str">
        <f t="shared" si="23"/>
        <v>-</v>
      </c>
      <c r="DI34" s="418" t="str">
        <f t="shared" si="24"/>
        <v>-</v>
      </c>
      <c r="DJ34" s="418">
        <f t="shared" si="25"/>
        <v>30</v>
      </c>
      <c r="DK34" s="418">
        <f t="shared" si="26"/>
        <v>29</v>
      </c>
      <c r="DL34" s="418">
        <f t="shared" si="27"/>
        <v>29</v>
      </c>
      <c r="DM34" s="418">
        <f t="shared" si="28"/>
        <v>28</v>
      </c>
      <c r="DN34" s="418">
        <f t="shared" si="29"/>
        <v>26</v>
      </c>
      <c r="DO34" s="418">
        <f t="shared" si="30"/>
        <v>30</v>
      </c>
      <c r="DP34" s="418">
        <f t="shared" si="31"/>
        <v>30</v>
      </c>
      <c r="DQ34" s="418">
        <f t="shared" si="32"/>
        <v>29</v>
      </c>
      <c r="DR34" s="418">
        <f t="shared" si="33"/>
        <v>32</v>
      </c>
      <c r="DS34" s="418">
        <f t="shared" si="34"/>
        <v>32</v>
      </c>
      <c r="DT34" s="418">
        <f t="shared" si="35"/>
        <v>32</v>
      </c>
      <c r="DU34" s="418">
        <f t="shared" si="36"/>
        <v>32</v>
      </c>
      <c r="DV34" s="418">
        <f t="shared" si="37"/>
        <v>32</v>
      </c>
      <c r="DW34" s="418">
        <f t="shared" si="38"/>
        <v>32</v>
      </c>
      <c r="DX34" s="418">
        <f t="shared" si="39"/>
        <v>32</v>
      </c>
      <c r="DY34" s="418">
        <f t="shared" si="40"/>
        <v>31</v>
      </c>
      <c r="DZ34" s="418">
        <f t="shared" si="41"/>
        <v>31</v>
      </c>
      <c r="EA34" s="419">
        <f t="shared" si="42"/>
        <v>31</v>
      </c>
    </row>
    <row r="35" spans="1:131" x14ac:dyDescent="0.2">
      <c r="A35" s="119"/>
    </row>
    <row r="36" spans="1:131" x14ac:dyDescent="0.2">
      <c r="A36" s="136"/>
    </row>
    <row r="162" spans="1:1" x14ac:dyDescent="0.2">
      <c r="A162" s="119"/>
    </row>
    <row r="163" spans="1:1" x14ac:dyDescent="0.2">
      <c r="A163" s="119"/>
    </row>
    <row r="164" spans="1:1" x14ac:dyDescent="0.2">
      <c r="A164" s="119"/>
    </row>
    <row r="217" spans="1:1" x14ac:dyDescent="0.2">
      <c r="A217" s="119"/>
    </row>
    <row r="218" spans="1:1" x14ac:dyDescent="0.2">
      <c r="A218" s="119"/>
    </row>
    <row r="219" spans="1:1" x14ac:dyDescent="0.2">
      <c r="A219" s="119"/>
    </row>
    <row r="220" spans="1:1" x14ac:dyDescent="0.2">
      <c r="A220" s="119"/>
    </row>
    <row r="221" spans="1:1" x14ac:dyDescent="0.2">
      <c r="A221" s="119"/>
    </row>
    <row r="222" spans="1:1" x14ac:dyDescent="0.2">
      <c r="A222" s="119"/>
    </row>
    <row r="223" spans="1:1" x14ac:dyDescent="0.2">
      <c r="A223" s="119"/>
    </row>
    <row r="224" spans="1:1" x14ac:dyDescent="0.2">
      <c r="A224" s="119"/>
    </row>
  </sheetData>
  <mergeCells count="7">
    <mergeCell ref="CL1:DF1"/>
    <mergeCell ref="DG1:EA1"/>
    <mergeCell ref="B2:D2"/>
    <mergeCell ref="F1:Z1"/>
    <mergeCell ref="AA1:AU1"/>
    <mergeCell ref="AV1:BP1"/>
    <mergeCell ref="BQ1:CK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Fixtures</vt:lpstr>
      <vt:lpstr>Results</vt:lpstr>
      <vt:lpstr>Batting</vt:lpstr>
      <vt:lpstr>Bowling</vt:lpstr>
      <vt:lpstr>Fielding</vt:lpstr>
      <vt:lpstr>Partnerships</vt:lpstr>
      <vt:lpstr>NACA</vt:lpstr>
      <vt:lpstr>Schwim</vt:lpstr>
      <vt:lpstr>Club Champion</vt:lpstr>
      <vt:lpstr>CC By Game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 Werren</dc:creator>
  <cp:lastModifiedBy>Steve Werren</cp:lastModifiedBy>
  <cp:lastPrinted>2016-06-28T07:24:44Z</cp:lastPrinted>
  <dcterms:created xsi:type="dcterms:W3CDTF">2013-05-14T22:39:40Z</dcterms:created>
  <dcterms:modified xsi:type="dcterms:W3CDTF">2020-06-03T22:19:49Z</dcterms:modified>
</cp:coreProperties>
</file>